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irka\Starostwo\Raport 2021\"/>
    </mc:Choice>
  </mc:AlternateContent>
  <xr:revisionPtr revIDLastSave="0" documentId="13_ncr:1_{2F891B1D-8358-468A-8BA2-A14EB2E8C9E9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RZiS" sheetId="4" r:id="rId1"/>
    <sheet name="Bilan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2" i="4" l="1"/>
  <c r="E72" i="4"/>
  <c r="D72" i="4"/>
  <c r="C72" i="4"/>
  <c r="F60" i="4"/>
  <c r="E60" i="4"/>
  <c r="D60" i="4"/>
  <c r="C60" i="4"/>
  <c r="D58" i="4"/>
  <c r="F55" i="4"/>
  <c r="E55" i="4"/>
  <c r="D55" i="4"/>
  <c r="C55" i="4"/>
  <c r="D53" i="4"/>
  <c r="D52" i="4" s="1"/>
  <c r="C53" i="4"/>
  <c r="F52" i="4"/>
  <c r="F46" i="4" s="1"/>
  <c r="E52" i="4"/>
  <c r="C52" i="4"/>
  <c r="C49" i="4"/>
  <c r="F48" i="4"/>
  <c r="E48" i="4"/>
  <c r="E46" i="4" s="1"/>
  <c r="D48" i="4"/>
  <c r="C48" i="4"/>
  <c r="C46" i="4"/>
  <c r="C42" i="4"/>
  <c r="E39" i="4"/>
  <c r="E38" i="4" s="1"/>
  <c r="D39" i="4"/>
  <c r="C39" i="4"/>
  <c r="C38" i="4" s="1"/>
  <c r="F38" i="4"/>
  <c r="D38" i="4"/>
  <c r="D36" i="4"/>
  <c r="D34" i="4" s="1"/>
  <c r="C36" i="4"/>
  <c r="C34" i="4" s="1"/>
  <c r="E35" i="4"/>
  <c r="E34" i="4" s="1"/>
  <c r="C35" i="4"/>
  <c r="F34" i="4"/>
  <c r="F31" i="4"/>
  <c r="D31" i="4"/>
  <c r="D27" i="4" s="1"/>
  <c r="C31" i="4"/>
  <c r="C30" i="4"/>
  <c r="C27" i="4" s="1"/>
  <c r="F27" i="4"/>
  <c r="E27" i="4"/>
  <c r="D25" i="4"/>
  <c r="D23" i="4" s="1"/>
  <c r="F23" i="4"/>
  <c r="E23" i="4"/>
  <c r="C23" i="4"/>
  <c r="D22" i="4"/>
  <c r="C22" i="4"/>
  <c r="D20" i="4"/>
  <c r="D16" i="4" s="1"/>
  <c r="C20" i="4"/>
  <c r="C17" i="4"/>
  <c r="F16" i="4"/>
  <c r="E16" i="4"/>
  <c r="E15" i="4" s="1"/>
  <c r="C10" i="4"/>
  <c r="D9" i="4"/>
  <c r="C9" i="4"/>
  <c r="F6" i="4"/>
  <c r="E6" i="4"/>
  <c r="D6" i="4"/>
  <c r="C6" i="4"/>
  <c r="F5" i="4"/>
  <c r="F3" i="4" s="1"/>
  <c r="E5" i="4"/>
  <c r="D5" i="4"/>
  <c r="D3" i="4" s="1"/>
  <c r="C5" i="4"/>
  <c r="E3" i="4"/>
  <c r="C3" i="4"/>
  <c r="C86" i="4" s="1"/>
  <c r="H165" i="3"/>
  <c r="G165" i="3"/>
  <c r="F165" i="3"/>
  <c r="F163" i="3" s="1"/>
  <c r="E165" i="3"/>
  <c r="E164" i="3"/>
  <c r="H163" i="3"/>
  <c r="G163" i="3"/>
  <c r="E163" i="3"/>
  <c r="D163" i="3"/>
  <c r="G162" i="3"/>
  <c r="G160" i="3" s="1"/>
  <c r="F162" i="3"/>
  <c r="E162" i="3"/>
  <c r="F161" i="3"/>
  <c r="H160" i="3"/>
  <c r="H159" i="3" s="1"/>
  <c r="H157" i="3" s="1"/>
  <c r="E160" i="3"/>
  <c r="E159" i="3" s="1"/>
  <c r="E157" i="3" s="1"/>
  <c r="D160" i="3"/>
  <c r="D159" i="3" s="1"/>
  <c r="D157" i="3" s="1"/>
  <c r="H147" i="3"/>
  <c r="G147" i="3"/>
  <c r="G143" i="3" s="1"/>
  <c r="G132" i="3" s="1"/>
  <c r="F147" i="3"/>
  <c r="E147" i="3"/>
  <c r="D147" i="3"/>
  <c r="H143" i="3"/>
  <c r="H132" i="3" s="1"/>
  <c r="F143" i="3"/>
  <c r="E143" i="3"/>
  <c r="E132" i="3" s="1"/>
  <c r="D143" i="3"/>
  <c r="D132" i="3" s="1"/>
  <c r="F132" i="3"/>
  <c r="H126" i="3"/>
  <c r="G126" i="3"/>
  <c r="F126" i="3"/>
  <c r="F123" i="3" s="1"/>
  <c r="E126" i="3"/>
  <c r="D126" i="3"/>
  <c r="H123" i="3"/>
  <c r="G123" i="3"/>
  <c r="E123" i="3"/>
  <c r="D123" i="3"/>
  <c r="H120" i="3"/>
  <c r="G120" i="3"/>
  <c r="G115" i="3" s="1"/>
  <c r="F120" i="3"/>
  <c r="E120" i="3"/>
  <c r="D120" i="3"/>
  <c r="H117" i="3"/>
  <c r="G117" i="3"/>
  <c r="F117" i="3"/>
  <c r="E117" i="3"/>
  <c r="E115" i="3" s="1"/>
  <c r="D117" i="3"/>
  <c r="F115" i="3"/>
  <c r="H110" i="3"/>
  <c r="G110" i="3"/>
  <c r="F110" i="3"/>
  <c r="E110" i="3"/>
  <c r="D110" i="3"/>
  <c r="D98" i="3" s="1"/>
  <c r="E109" i="3"/>
  <c r="F109" i="3" s="1"/>
  <c r="D107" i="3"/>
  <c r="H84" i="3"/>
  <c r="H73" i="3" s="1"/>
  <c r="H72" i="3" s="1"/>
  <c r="G84" i="3"/>
  <c r="G73" i="3" s="1"/>
  <c r="G72" i="3" s="1"/>
  <c r="F84" i="3"/>
  <c r="E84" i="3"/>
  <c r="D84" i="3"/>
  <c r="D73" i="3" s="1"/>
  <c r="D72" i="3" s="1"/>
  <c r="F73" i="3"/>
  <c r="E73" i="3"/>
  <c r="E72" i="3" s="1"/>
  <c r="F72" i="3"/>
  <c r="F70" i="3"/>
  <c r="F67" i="3"/>
  <c r="F66" i="3" s="1"/>
  <c r="F65" i="3" s="1"/>
  <c r="F54" i="3" s="1"/>
  <c r="H66" i="3"/>
  <c r="G66" i="3"/>
  <c r="E66" i="3"/>
  <c r="E65" i="3" s="1"/>
  <c r="E54" i="3" s="1"/>
  <c r="E47" i="3" s="1"/>
  <c r="D66" i="3"/>
  <c r="H65" i="3"/>
  <c r="G65" i="3"/>
  <c r="G54" i="3" s="1"/>
  <c r="D65" i="3"/>
  <c r="D54" i="3" s="1"/>
  <c r="H54" i="3"/>
  <c r="H48" i="3"/>
  <c r="H47" i="3" s="1"/>
  <c r="G48" i="3"/>
  <c r="F48" i="3"/>
  <c r="E48" i="3"/>
  <c r="D48" i="3"/>
  <c r="H17" i="3"/>
  <c r="G17" i="3"/>
  <c r="F17" i="3"/>
  <c r="F16" i="3"/>
  <c r="G15" i="3"/>
  <c r="F15" i="3"/>
  <c r="H14" i="3"/>
  <c r="H12" i="3" s="1"/>
  <c r="H11" i="3" s="1"/>
  <c r="G14" i="3"/>
  <c r="G12" i="3" s="1"/>
  <c r="G11" i="3" s="1"/>
  <c r="G5" i="3" s="1"/>
  <c r="F14" i="3"/>
  <c r="E12" i="3"/>
  <c r="E11" i="3" s="1"/>
  <c r="D12" i="3"/>
  <c r="D11" i="3" s="1"/>
  <c r="D5" i="3" s="1"/>
  <c r="H6" i="3"/>
  <c r="G6" i="3"/>
  <c r="F6" i="3"/>
  <c r="E6" i="3"/>
  <c r="D6" i="3"/>
  <c r="W35" i="3"/>
  <c r="V34" i="3"/>
  <c r="R43" i="3"/>
  <c r="W37" i="3"/>
  <c r="R47" i="3"/>
  <c r="R34" i="3"/>
  <c r="R25" i="3"/>
  <c r="T10" i="3"/>
  <c r="R10" i="3"/>
  <c r="S18" i="3"/>
  <c r="V3" i="3"/>
  <c r="K8" i="3"/>
  <c r="G47" i="3" l="1"/>
  <c r="H5" i="3"/>
  <c r="F12" i="3"/>
  <c r="F11" i="3" s="1"/>
  <c r="F5" i="3" s="1"/>
  <c r="F92" i="3" s="1"/>
  <c r="E114" i="3"/>
  <c r="D115" i="3"/>
  <c r="H115" i="3"/>
  <c r="G159" i="3"/>
  <c r="G157" i="3" s="1"/>
  <c r="G114" i="3" s="1"/>
  <c r="E5" i="3"/>
  <c r="E92" i="3" s="1"/>
  <c r="F47" i="3"/>
  <c r="F160" i="3"/>
  <c r="E107" i="3"/>
  <c r="E98" i="3" s="1"/>
  <c r="C16" i="4"/>
  <c r="C15" i="4" s="1"/>
  <c r="C13" i="4" s="1"/>
  <c r="C87" i="4" s="1"/>
  <c r="F15" i="4"/>
  <c r="F13" i="4" s="1"/>
  <c r="F87" i="4" s="1"/>
  <c r="D46" i="4"/>
  <c r="D86" i="4" s="1"/>
  <c r="E13" i="4"/>
  <c r="D15" i="4"/>
  <c r="E86" i="4"/>
  <c r="E87" i="4"/>
  <c r="E45" i="4"/>
  <c r="E59" i="4" s="1"/>
  <c r="E79" i="4" s="1"/>
  <c r="E82" i="4" s="1"/>
  <c r="F86" i="4"/>
  <c r="F45" i="4"/>
  <c r="F59" i="4" s="1"/>
  <c r="F79" i="4" s="1"/>
  <c r="F82" i="4" s="1"/>
  <c r="D13" i="4"/>
  <c r="D87" i="4" s="1"/>
  <c r="D47" i="3"/>
  <c r="G109" i="3"/>
  <c r="F107" i="3"/>
  <c r="F98" i="3" s="1"/>
  <c r="H92" i="3"/>
  <c r="D114" i="3"/>
  <c r="D166" i="3" s="1"/>
  <c r="H114" i="3"/>
  <c r="D92" i="3"/>
  <c r="G92" i="3"/>
  <c r="F159" i="3"/>
  <c r="F157" i="3" s="1"/>
  <c r="F114" i="3" s="1"/>
  <c r="R18" i="3"/>
  <c r="T18" i="3" s="1"/>
  <c r="L8" i="3"/>
  <c r="L5" i="3"/>
  <c r="R14" i="3"/>
  <c r="R3" i="3"/>
  <c r="U3" i="3"/>
  <c r="N8" i="3"/>
  <c r="T3" i="3"/>
  <c r="N5" i="3"/>
  <c r="S14" i="3"/>
  <c r="S3" i="3"/>
  <c r="K5" i="3"/>
  <c r="N26" i="3" s="1"/>
  <c r="R6" i="3"/>
  <c r="M8" i="3"/>
  <c r="R9" i="3"/>
  <c r="S34" i="3"/>
  <c r="W38" i="3"/>
  <c r="R41" i="3"/>
  <c r="S9" i="3"/>
  <c r="T9" i="3" s="1"/>
  <c r="S10" i="3"/>
  <c r="T34" i="3"/>
  <c r="M5" i="3"/>
  <c r="U34" i="3"/>
  <c r="R38" i="3"/>
  <c r="E166" i="3" l="1"/>
  <c r="D45" i="4"/>
  <c r="D59" i="4" s="1"/>
  <c r="D79" i="4" s="1"/>
  <c r="D82" i="4" s="1"/>
  <c r="C45" i="4"/>
  <c r="C59" i="4" s="1"/>
  <c r="C79" i="4" s="1"/>
  <c r="C82" i="4" s="1"/>
  <c r="F166" i="3"/>
  <c r="H109" i="3"/>
  <c r="H107" i="3" s="1"/>
  <c r="H98" i="3" s="1"/>
  <c r="H166" i="3" s="1"/>
  <c r="G107" i="3"/>
  <c r="G98" i="3" s="1"/>
  <c r="G166" i="3" s="1"/>
  <c r="N6" i="3"/>
  <c r="N9" i="3"/>
  <c r="L6" i="3"/>
  <c r="L9" i="3"/>
  <c r="K6" i="3"/>
  <c r="K9" i="3"/>
  <c r="M6" i="3"/>
  <c r="M9" i="3"/>
</calcChain>
</file>

<file path=xl/sharedStrings.xml><?xml version="1.0" encoding="utf-8"?>
<sst xmlns="http://schemas.openxmlformats.org/spreadsheetml/2006/main" count="476" uniqueCount="345">
  <si>
    <t>KOD</t>
  </si>
  <si>
    <t xml:space="preserve">Wyszczególnienie </t>
  </si>
  <si>
    <t>AKTYWA</t>
  </si>
  <si>
    <t>A.</t>
  </si>
  <si>
    <t>Aktywa trwałe</t>
  </si>
  <si>
    <t>A.I.</t>
  </si>
  <si>
    <t>Wartości niematerialne i prawne</t>
  </si>
  <si>
    <t>A.I.1.</t>
  </si>
  <si>
    <t>Koszty zakończonych prac rozwojowych</t>
  </si>
  <si>
    <t>A.I.2.</t>
  </si>
  <si>
    <t>Wartość firmy</t>
  </si>
  <si>
    <t>A.I.3.</t>
  </si>
  <si>
    <t>Inne wartości niematerialne i prawne</t>
  </si>
  <si>
    <t>A.I.4.</t>
  </si>
  <si>
    <t>Zaliczki na wartości niematerialne i prawne</t>
  </si>
  <si>
    <t>A.II.</t>
  </si>
  <si>
    <t>Rzeczowe aktywa trwałe</t>
  </si>
  <si>
    <t>A.II.1.</t>
  </si>
  <si>
    <t>Środki trwałe</t>
  </si>
  <si>
    <t>A.II.1.a</t>
  </si>
  <si>
    <t>grunty (w tym prawo użytkowania wieczystego gruntu)</t>
  </si>
  <si>
    <t>A.II.1.b</t>
  </si>
  <si>
    <t>budynki, lokale, prawa do lokali  i obiekty inżynierii lądowej i wodnej</t>
  </si>
  <si>
    <t>A.II.1.c</t>
  </si>
  <si>
    <t>urządzenia techniczne i maszyny</t>
  </si>
  <si>
    <t>A.II.1.d</t>
  </si>
  <si>
    <t>środki transportu</t>
  </si>
  <si>
    <t>A.II.1.e</t>
  </si>
  <si>
    <t>inne środki trwałe</t>
  </si>
  <si>
    <t>A.II.2.</t>
  </si>
  <si>
    <t>Środki trwałe w budowie</t>
  </si>
  <si>
    <t>A.II.3.</t>
  </si>
  <si>
    <t>Zaliczki na środki trwałe w budowie</t>
  </si>
  <si>
    <t>A.III.</t>
  </si>
  <si>
    <t>Należności długoterminowe</t>
  </si>
  <si>
    <t>A.III.1.</t>
  </si>
  <si>
    <t>Od  jednostek powiązanych</t>
  </si>
  <si>
    <t>A.III.2.</t>
  </si>
  <si>
    <t>Od pozostałych jednostek, w których jednostka posiada zaangażowanie w kapitale</t>
  </si>
  <si>
    <t>A.III.3.</t>
  </si>
  <si>
    <t xml:space="preserve">Od pozostałych jednostek </t>
  </si>
  <si>
    <t>A.IV.</t>
  </si>
  <si>
    <t>Inwestycje długoterminowe</t>
  </si>
  <si>
    <t>A.IV.1.</t>
  </si>
  <si>
    <t>Nieruchomości</t>
  </si>
  <si>
    <t>A.IV.2.</t>
  </si>
  <si>
    <t>A.IV.3.</t>
  </si>
  <si>
    <t>Długoterminowe aktywa finansowe</t>
  </si>
  <si>
    <t>A.IV.3.a</t>
  </si>
  <si>
    <t>w jednostkach powiązanych</t>
  </si>
  <si>
    <t>A.IV.3.a.-</t>
  </si>
  <si>
    <t>udziały lub akcje</t>
  </si>
  <si>
    <t>inne papiery wartościowe</t>
  </si>
  <si>
    <t>udzielone pożyczki</t>
  </si>
  <si>
    <t>inne długoterminowe aktywa finansowe</t>
  </si>
  <si>
    <t>A.IV.3.b.</t>
  </si>
  <si>
    <t>w pozostałych jednostkach, w których jednostka posiada zaangażowanie w kapitale</t>
  </si>
  <si>
    <t>A.IV.3.b.-</t>
  </si>
  <si>
    <t>A.IV.3.c.</t>
  </si>
  <si>
    <t>w pozostałych jednostkach</t>
  </si>
  <si>
    <t>A.IV.3.c.-</t>
  </si>
  <si>
    <t>A.IV.4.</t>
  </si>
  <si>
    <t>Inne inwestycje długoterminowe</t>
  </si>
  <si>
    <t>A.V.</t>
  </si>
  <si>
    <t>Długoterminowe rozliczenia międzyokresowe</t>
  </si>
  <si>
    <t>A.V.1.</t>
  </si>
  <si>
    <t>Aktywa z tytułu odroczonego podatku dochodowego</t>
  </si>
  <si>
    <t>A.V.2.</t>
  </si>
  <si>
    <t>Inne rozliczenia międzyokresowe</t>
  </si>
  <si>
    <t>B.</t>
  </si>
  <si>
    <t>Aktywa obrotowe</t>
  </si>
  <si>
    <t>B.I.</t>
  </si>
  <si>
    <t>Zapasy</t>
  </si>
  <si>
    <t>B.I.1.</t>
  </si>
  <si>
    <t>Materiały</t>
  </si>
  <si>
    <t>B.I.2.</t>
  </si>
  <si>
    <t>Półprodukty i produkty w toku</t>
  </si>
  <si>
    <t>B.I.3.</t>
  </si>
  <si>
    <t>Produkty gotowe</t>
  </si>
  <si>
    <t>B.I.4.</t>
  </si>
  <si>
    <t>Towary</t>
  </si>
  <si>
    <t>B.I.5.</t>
  </si>
  <si>
    <t>Zaliczki na dostawy i usługi</t>
  </si>
  <si>
    <t>B.II.</t>
  </si>
  <si>
    <t>Należności krótkoterminowe</t>
  </si>
  <si>
    <t>B.II.1.</t>
  </si>
  <si>
    <t>Należności od jednostek powiązanych</t>
  </si>
  <si>
    <t>B.II.1.a.</t>
  </si>
  <si>
    <t>z tytułu dostaw i usług, o okresie spłaty</t>
  </si>
  <si>
    <t>B.II.1.a.-</t>
  </si>
  <si>
    <t>do 12 miesięcy</t>
  </si>
  <si>
    <t>powyżej 12 miesięcy</t>
  </si>
  <si>
    <t>B.II.1.b.</t>
  </si>
  <si>
    <t>inne</t>
  </si>
  <si>
    <t>B.II.2.</t>
  </si>
  <si>
    <t>Należności od pozostałych jednostek, w których jednostka posiada zaangażowanie w kapitale</t>
  </si>
  <si>
    <t>B.II.2.a.</t>
  </si>
  <si>
    <t>z tytułu dostaw i usług, o okresie spłaty:</t>
  </si>
  <si>
    <t>B.II.2.a.-</t>
  </si>
  <si>
    <t>B.II.2.b.</t>
  </si>
  <si>
    <t>B.II.3.</t>
  </si>
  <si>
    <t>Należności od pozostałych jednostek</t>
  </si>
  <si>
    <t>B.II.3.a.</t>
  </si>
  <si>
    <t>B.II.3.a.-</t>
  </si>
  <si>
    <t>B.II.3.b.</t>
  </si>
  <si>
    <t>z tytułu podatków, dotacji, ceł, ubezpieczeń społecznych i zdrowotnych oraz innych tytułów publicznoprawnych</t>
  </si>
  <si>
    <t>B.II.3.c.</t>
  </si>
  <si>
    <t>B.II.3.d.</t>
  </si>
  <si>
    <t>dochodzone na drodze sądowej</t>
  </si>
  <si>
    <t>B.III.</t>
  </si>
  <si>
    <t>Inwestycje krótkoterminowe</t>
  </si>
  <si>
    <t>B.III.1.</t>
  </si>
  <si>
    <t>Krótkoterminowe aktywa finansowe</t>
  </si>
  <si>
    <t>B.III.1.a.</t>
  </si>
  <si>
    <t>B.III.1.a.-</t>
  </si>
  <si>
    <t>inne krótkoterminowe aktywa finansowe</t>
  </si>
  <si>
    <t>B.III.1.b.</t>
  </si>
  <si>
    <t>B.III.1.b.-</t>
  </si>
  <si>
    <t>B.III.1.c.</t>
  </si>
  <si>
    <t>środki pieniężne i inne aktywa pieniężne</t>
  </si>
  <si>
    <t>B.III.1.c.-</t>
  </si>
  <si>
    <t>środki pieniężne w kasie i na rachunkach</t>
  </si>
  <si>
    <t>inne środki pieniężne</t>
  </si>
  <si>
    <t xml:space="preserve">B.III.1.c.- </t>
  </si>
  <si>
    <t>inne aktywa pieniężne</t>
  </si>
  <si>
    <t>B.III.2.</t>
  </si>
  <si>
    <t>Inne inwestycje krótkoterminowe</t>
  </si>
  <si>
    <t>B.IV.</t>
  </si>
  <si>
    <t>Krótkoterminowe rozliczenia międzyokresowe</t>
  </si>
  <si>
    <t>C.</t>
  </si>
  <si>
    <t>Należne wpłaty na ka[pitał (fundusz) podstawowy</t>
  </si>
  <si>
    <t>D.</t>
  </si>
  <si>
    <t>Udziały (akcje) własne</t>
  </si>
  <si>
    <t>RAZEM  AKTYWA</t>
  </si>
  <si>
    <t>Wyszczególnienie</t>
  </si>
  <si>
    <t>PASYWA</t>
  </si>
  <si>
    <t>Kapitał (fundusz) własny</t>
  </si>
  <si>
    <t>Kapitał (fundusz) podstawowy</t>
  </si>
  <si>
    <t xml:space="preserve">A.II. </t>
  </si>
  <si>
    <t>A.II.-</t>
  </si>
  <si>
    <t>nadwyżka wartości sprzedaży (wartości emisyjnej)  nad wartością nominalną udziałów (akcji)</t>
  </si>
  <si>
    <t>A.III.-</t>
  </si>
  <si>
    <t>z tytułu aktualizacji wartości godziwej</t>
  </si>
  <si>
    <t>A.IV.-</t>
  </si>
  <si>
    <t>tworzone zgodnie z umową (statutem) spółki</t>
  </si>
  <si>
    <t>na udziały (akcje) własne</t>
  </si>
  <si>
    <t>Zysk (strata) z lat ubiegłych</t>
  </si>
  <si>
    <t>Zysk (wielkość dodatnia)</t>
  </si>
  <si>
    <t>Strata (wielkość ujemna)</t>
  </si>
  <si>
    <t>A.VI.</t>
  </si>
  <si>
    <t>Zysk (strata) netto</t>
  </si>
  <si>
    <t>A.VI.1.</t>
  </si>
  <si>
    <t>A.VI.2.</t>
  </si>
  <si>
    <t>A.VII.</t>
  </si>
  <si>
    <t>Odpisy z zysku netto w ciągu roku obrotowego (wielkość ujemna)</t>
  </si>
  <si>
    <t>Zobowiązania i rezerwy na zobowiązania</t>
  </si>
  <si>
    <t>Rezerwy na zobowiązania</t>
  </si>
  <si>
    <t>Rezerwa z tytułu odroczonego podatku dochodowego</t>
  </si>
  <si>
    <t>Rezerwa na świadczenia emerytalne i podobne</t>
  </si>
  <si>
    <t>B.I.2.-</t>
  </si>
  <si>
    <t>długoterminowa</t>
  </si>
  <si>
    <t>krótkoterminowa</t>
  </si>
  <si>
    <t>Pozostałe rezerwy</t>
  </si>
  <si>
    <t>B.I.3.-</t>
  </si>
  <si>
    <t>długoterminowe</t>
  </si>
  <si>
    <t>krótkoterminowe</t>
  </si>
  <si>
    <t>Zobowiązania długoterminowe</t>
  </si>
  <si>
    <t>Wobec jednostek powiązanych</t>
  </si>
  <si>
    <t>Wobec pozostałych jednostek, w których jednostka posiada zaangażowanie w kapitale</t>
  </si>
  <si>
    <t>Wobec pozostałych jednostek</t>
  </si>
  <si>
    <t>kredyty i pożyczki</t>
  </si>
  <si>
    <t>z tytułu emisji dłużnych papierów wartościowych</t>
  </si>
  <si>
    <t>inne zobowiązania finansowe</t>
  </si>
  <si>
    <t>zobowiązania wekslowe</t>
  </si>
  <si>
    <t>B.II.3.e.</t>
  </si>
  <si>
    <t>Zobowiązania krótkoterminowe</t>
  </si>
  <si>
    <t>Zobowiązania wobec jednostek powiązanych</t>
  </si>
  <si>
    <t>z tytułu dostaw i usług, o okresie wymagalności:</t>
  </si>
  <si>
    <t>Zobowiązania wobec pozostałych jednostek, w których jednostka posiada zaangażowanie w kapitale</t>
  </si>
  <si>
    <t>B.III.2.a</t>
  </si>
  <si>
    <t>B.III.2.a.-</t>
  </si>
  <si>
    <t>B.III.2.b.</t>
  </si>
  <si>
    <t>B.III.3.</t>
  </si>
  <si>
    <t>Zobowiązania wobec pozostałych jednostek</t>
  </si>
  <si>
    <t>B.III.3.a.</t>
  </si>
  <si>
    <t>B.III.3.b.</t>
  </si>
  <si>
    <t>B.III.3.c.</t>
  </si>
  <si>
    <t>B.III.3.d.</t>
  </si>
  <si>
    <t>B.III.3.d.-</t>
  </si>
  <si>
    <t>B.III.3.d.-.</t>
  </si>
  <si>
    <t>B.III.3.e.</t>
  </si>
  <si>
    <t>zaliczki otrzymane na dostawy i usługi</t>
  </si>
  <si>
    <t>B.III.3.f.</t>
  </si>
  <si>
    <t>B.III.3.g.</t>
  </si>
  <si>
    <t>z tytułu podatków, ceł, ubezpieczeń społecznych i zdrowotnych oraz innych tytułów publicznoprawnych</t>
  </si>
  <si>
    <t>B.III.3.h.</t>
  </si>
  <si>
    <t>z tytułu wynagrodzeń</t>
  </si>
  <si>
    <t>B.III.3.i.</t>
  </si>
  <si>
    <t>B.III.4.</t>
  </si>
  <si>
    <t>Fundusze specjalne</t>
  </si>
  <si>
    <t>B.III.4.-</t>
  </si>
  <si>
    <t>w tym zakładowy fundusz świadczeń socjalnych (ZFŚS)</t>
  </si>
  <si>
    <t>Rozliczenia międzyokresowe</t>
  </si>
  <si>
    <t>B.IV.1.</t>
  </si>
  <si>
    <t>Ujemna wartość firmy</t>
  </si>
  <si>
    <t>B.IV.2.</t>
  </si>
  <si>
    <t>B.IV.2.-</t>
  </si>
  <si>
    <t>długoterminowe, w tym:</t>
  </si>
  <si>
    <t>- dotacje z budżetu państwa</t>
  </si>
  <si>
    <t>- dotacje z budżetu jednostki samorządu terytorialnego</t>
  </si>
  <si>
    <t>krótkoterminowe, w tym:</t>
  </si>
  <si>
    <t>RAZEM  PASYWA</t>
  </si>
  <si>
    <t>B I L A N S</t>
  </si>
  <si>
    <r>
      <t>Kapitał (fundusz)  zapasowy,</t>
    </r>
    <r>
      <rPr>
        <sz val="9"/>
        <rFont val="Arial"/>
        <family val="2"/>
        <charset val="238"/>
      </rPr>
      <t xml:space="preserve"> w tym:</t>
    </r>
  </si>
  <si>
    <r>
      <t xml:space="preserve">Kapitał (fundusz) z aktualizacji wyceny, </t>
    </r>
    <r>
      <rPr>
        <sz val="9"/>
        <rFont val="Arial"/>
        <family val="2"/>
        <charset val="238"/>
      </rPr>
      <t>w tym:</t>
    </r>
  </si>
  <si>
    <r>
      <t>Pozostałe kapitały (fundusze) rezerwowe</t>
    </r>
    <r>
      <rPr>
        <sz val="9"/>
        <rFont val="Arial"/>
        <family val="2"/>
        <charset val="238"/>
      </rPr>
      <t>, w tym:</t>
    </r>
  </si>
  <si>
    <r>
      <t xml:space="preserve"> Przychody netto ze sprzedaży i zrównane z nimi, </t>
    </r>
    <r>
      <rPr>
        <sz val="9"/>
        <rFont val="Arial"/>
        <family val="2"/>
        <charset val="238"/>
      </rPr>
      <t>w tym:</t>
    </r>
  </si>
  <si>
    <t>-</t>
  </si>
  <si>
    <t>od jednostek powiązanych</t>
  </si>
  <si>
    <t>A.l.</t>
  </si>
  <si>
    <t>Przychody netto ze sprzedaży produktów</t>
  </si>
  <si>
    <t>zyskown netto</t>
  </si>
  <si>
    <t>sprzedanych NFZ</t>
  </si>
  <si>
    <t>sprzedanych Ministerstwu Zdrowia</t>
  </si>
  <si>
    <t>sprzedanych pracodawcom</t>
  </si>
  <si>
    <t>zyskown z dział</t>
  </si>
  <si>
    <t>pozostałych</t>
  </si>
  <si>
    <t>operacyjn</t>
  </si>
  <si>
    <t>Zmiana stanu produktów (zwiększenie –wartość dodatnia, zmniejszenie –wartość ujemna)</t>
  </si>
  <si>
    <t xml:space="preserve"> Koszty wytworzenia produktów na własne potrzeby jednostki</t>
  </si>
  <si>
    <t xml:space="preserve"> Przychody netto ze sprzedaży towarów i materiałów</t>
  </si>
  <si>
    <t xml:space="preserve"> Koszty działalności operacyjnej</t>
  </si>
  <si>
    <t>B.l.</t>
  </si>
  <si>
    <t xml:space="preserve"> Amortyzacja</t>
  </si>
  <si>
    <t xml:space="preserve"> Zużycie materiałów i energii</t>
  </si>
  <si>
    <t>B.II.1</t>
  </si>
  <si>
    <t xml:space="preserve"> Materiałów</t>
  </si>
  <si>
    <t>- leków</t>
  </si>
  <si>
    <t>- żywności</t>
  </si>
  <si>
    <t>B.II.1.c.</t>
  </si>
  <si>
    <t>- sprzętu jednorazowego</t>
  </si>
  <si>
    <t>B.II.1.d.</t>
  </si>
  <si>
    <t>- odczynników chemicznych i materiałów diagnostycznych</t>
  </si>
  <si>
    <t>B.II.1.e.</t>
  </si>
  <si>
    <t xml:space="preserve">- paliwa </t>
  </si>
  <si>
    <t>B.II.1.f.</t>
  </si>
  <si>
    <t>- pozostałe</t>
  </si>
  <si>
    <t xml:space="preserve"> Energii</t>
  </si>
  <si>
    <t>B.II.2.a</t>
  </si>
  <si>
    <t>- elektrycznej</t>
  </si>
  <si>
    <t>- cieplnej</t>
  </si>
  <si>
    <t>B.II.2.c.</t>
  </si>
  <si>
    <t xml:space="preserve"> Usługi obce</t>
  </si>
  <si>
    <t>remontowe</t>
  </si>
  <si>
    <t>transportowe</t>
  </si>
  <si>
    <t>medyczne obce (umowy cywilno-prawne, prace wykonane przez laboratoria itp.)</t>
  </si>
  <si>
    <t>pozostałe usługi</t>
  </si>
  <si>
    <t xml:space="preserve"> Podatki i opłaty</t>
  </si>
  <si>
    <t>w tym  podatek akcyzowy</t>
  </si>
  <si>
    <t>B.V.</t>
  </si>
  <si>
    <t xml:space="preserve"> Wynagrodzenia</t>
  </si>
  <si>
    <t>B.V.1.</t>
  </si>
  <si>
    <t>wynagrodzenia ze stosunku pracy</t>
  </si>
  <si>
    <t>B.V.2.</t>
  </si>
  <si>
    <t>wynagrodzenia z umów zleceń i o dzieło</t>
  </si>
  <si>
    <t>B.V.3.</t>
  </si>
  <si>
    <t>wynagrodzenia pozostałe</t>
  </si>
  <si>
    <t>B.VI.</t>
  </si>
  <si>
    <r>
      <t xml:space="preserve"> Ubezpieczenia społeczne i inne świadczenia, </t>
    </r>
    <r>
      <rPr>
        <sz val="9"/>
        <rFont val="Arial"/>
        <family val="2"/>
        <charset val="238"/>
      </rPr>
      <t>w tym:</t>
    </r>
  </si>
  <si>
    <t>- składki na ubezpieczenia społeczne</t>
  </si>
  <si>
    <t>- składki na fundusz pracy</t>
  </si>
  <si>
    <t xml:space="preserve"> - składki na Fundusz Emerytur Pomostowych</t>
  </si>
  <si>
    <t>B.VII.</t>
  </si>
  <si>
    <t xml:space="preserve"> Pozostałe koszty rodzajowe</t>
  </si>
  <si>
    <t xml:space="preserve"> - w tym podróże służbowe</t>
  </si>
  <si>
    <t>B.VIII.</t>
  </si>
  <si>
    <t xml:space="preserve"> Wartość sprzedanych towarów i materiałów</t>
  </si>
  <si>
    <t xml:space="preserve"> Zysk (strata) ze sprzedaży (A–B)</t>
  </si>
  <si>
    <t xml:space="preserve"> Pozostałe przychody operacyjne</t>
  </si>
  <si>
    <t>D.l.</t>
  </si>
  <si>
    <t xml:space="preserve"> Zysk z tytułu rozchodu niefinansowych aktywów trwałych</t>
  </si>
  <si>
    <t>D.II.</t>
  </si>
  <si>
    <r>
      <t xml:space="preserve"> Dotacje, </t>
    </r>
    <r>
      <rPr>
        <sz val="9"/>
        <rFont val="Arial"/>
        <family val="2"/>
        <charset val="238"/>
      </rPr>
      <t>w tym:</t>
    </r>
  </si>
  <si>
    <t>- dotacje  z jednostek samorządu terytorialnego</t>
  </si>
  <si>
    <t xml:space="preserve">D.III. </t>
  </si>
  <si>
    <t>Aktualizacja wartości aktywów niefinansowych</t>
  </si>
  <si>
    <t xml:space="preserve">D.IV. </t>
  </si>
  <si>
    <r>
      <t xml:space="preserve">Inne przychody operacyjne, </t>
    </r>
    <r>
      <rPr>
        <sz val="9"/>
        <rFont val="Arial"/>
        <family val="2"/>
        <charset val="238"/>
      </rPr>
      <t>w tym:</t>
    </r>
  </si>
  <si>
    <t>- inne (odszkodowania, PFRON,darowizny i inne)</t>
  </si>
  <si>
    <t>- równowartość rocznych odpisów amortyzacyjnych  środków trwałych oraz wartości niematerialnych i prawnych sfinansowanych z dotacji celowych</t>
  </si>
  <si>
    <t>E.</t>
  </si>
  <si>
    <t xml:space="preserve"> Pozostałe koszty operacyjne</t>
  </si>
  <si>
    <t>E.l.</t>
  </si>
  <si>
    <t xml:space="preserve"> Strata ze zbycia niefinansowych aktywów trwałych</t>
  </si>
  <si>
    <t>E.II.</t>
  </si>
  <si>
    <t xml:space="preserve"> Aktualizacja wartości aktywów niefinansowych</t>
  </si>
  <si>
    <t>E.III.</t>
  </si>
  <si>
    <t xml:space="preserve"> Inne koszty operacyjne</t>
  </si>
  <si>
    <t>F.</t>
  </si>
  <si>
    <t xml:space="preserve"> Zysk (strata) z działalności operacyjnej (C+D–E)</t>
  </si>
  <si>
    <t>G.</t>
  </si>
  <si>
    <t xml:space="preserve"> Przychody finansowe</t>
  </si>
  <si>
    <t>G.l.</t>
  </si>
  <si>
    <t xml:space="preserve"> Dywidendy i udziały w zyskach, w tym:</t>
  </si>
  <si>
    <t>G.I.a.</t>
  </si>
  <si>
    <t>G.I.a.-</t>
  </si>
  <si>
    <t>w których jednostka posiada zaangażowanie w kapitale</t>
  </si>
  <si>
    <t>G.I.b.</t>
  </si>
  <si>
    <t>od jednostek pozostałych, w tym:</t>
  </si>
  <si>
    <t>G.I.b.-</t>
  </si>
  <si>
    <t>G.II.</t>
  </si>
  <si>
    <t xml:space="preserve"> Odsetki</t>
  </si>
  <si>
    <t>G.II.-</t>
  </si>
  <si>
    <t>w tym od jednostek powiązanych</t>
  </si>
  <si>
    <t>G.III.</t>
  </si>
  <si>
    <t xml:space="preserve"> Zysk z tytułu rozchodu aktywów finansowych, w tym:</t>
  </si>
  <si>
    <t>G.III.-</t>
  </si>
  <si>
    <t>G.IV.</t>
  </si>
  <si>
    <t xml:space="preserve"> Aktualizacja wartości aktywów finansowych</t>
  </si>
  <si>
    <t>G.V.</t>
  </si>
  <si>
    <t xml:space="preserve"> Inne</t>
  </si>
  <si>
    <t>H.</t>
  </si>
  <si>
    <t xml:space="preserve"> Koszty finansowe</t>
  </si>
  <si>
    <t>H.I.</t>
  </si>
  <si>
    <t xml:space="preserve"> Odsetki, w tym:</t>
  </si>
  <si>
    <t>H.I.-</t>
  </si>
  <si>
    <t>dla jednostek powiązanych</t>
  </si>
  <si>
    <t>H.II.</t>
  </si>
  <si>
    <r>
      <t xml:space="preserve"> Strata z tytułu rozchodu aktywów finansowych, </t>
    </r>
    <r>
      <rPr>
        <sz val="9"/>
        <rFont val="Arial"/>
        <family val="2"/>
        <charset val="238"/>
      </rPr>
      <t>w tym:</t>
    </r>
  </si>
  <si>
    <t>H.II.-</t>
  </si>
  <si>
    <t>H.III.</t>
  </si>
  <si>
    <t>H.IV.</t>
  </si>
  <si>
    <t>I.</t>
  </si>
  <si>
    <t xml:space="preserve"> Zysk (strata) brutto (F+G-H)</t>
  </si>
  <si>
    <t>J.</t>
  </si>
  <si>
    <t xml:space="preserve"> Podatek dochodowy</t>
  </si>
  <si>
    <t>K.</t>
  </si>
  <si>
    <t xml:space="preserve"> Pozostałe obowiązkowe zmniejszenia zysku (zwiększenia straty)</t>
  </si>
  <si>
    <t>L.</t>
  </si>
  <si>
    <t xml:space="preserve"> Zysk (strata) netto (I-J-K)</t>
  </si>
  <si>
    <t>Lp.</t>
  </si>
  <si>
    <t>Suma Przychodów</t>
  </si>
  <si>
    <t>Suma Kosztów</t>
  </si>
  <si>
    <t>Bilans SP ZOZ   na dzień   31-12-2020,  31-12-2021,  31-12-2022,  31-12-2023 r.</t>
  </si>
  <si>
    <t>RACHUNEK ZYSKÓW I STRAT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</si>
</sst>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name val="Arial"/>
      <family val="2"/>
      <charset val="238"/>
    </font>
    <font>
      <b/>
      <i/>
      <sz val="9"/>
      <name val="Arial"/>
      <family val="2"/>
      <charset val="238"/>
    </font>
    <font>
      <sz val="9"/>
      <name val="Arial CE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73">
    <xf numFmtId="0" fontId="0" fillId="0" borderId="0" xfId="0"/>
    <xf numFmtId="0" fontId="5" fillId="0" borderId="0" xfId="0" applyFont="1"/>
    <xf numFmtId="3" fontId="3" fillId="6" borderId="7" xfId="1" applyNumberFormat="1" applyFont="1" applyFill="1" applyBorder="1" applyAlignment="1" applyProtection="1">
      <alignment horizontal="right" vertical="center"/>
      <protection locked="0"/>
    </xf>
    <xf numFmtId="3" fontId="6" fillId="6" borderId="11" xfId="1" applyNumberFormat="1" applyFont="1" applyFill="1" applyBorder="1" applyAlignment="1" applyProtection="1">
      <alignment horizontal="right" vertical="center"/>
      <protection locked="0"/>
    </xf>
    <xf numFmtId="0" fontId="8" fillId="0" borderId="0" xfId="1" applyFont="1"/>
    <xf numFmtId="3" fontId="6" fillId="6" borderId="7" xfId="1" applyNumberFormat="1" applyFont="1" applyFill="1" applyBorder="1" applyAlignment="1" applyProtection="1">
      <alignment horizontal="right" vertical="center"/>
      <protection locked="0"/>
    </xf>
    <xf numFmtId="3" fontId="3" fillId="6" borderId="4" xfId="1" applyNumberFormat="1" applyFont="1" applyFill="1" applyBorder="1" applyAlignment="1" applyProtection="1">
      <alignment horizontal="right" vertical="center"/>
      <protection locked="0"/>
    </xf>
    <xf numFmtId="3" fontId="3" fillId="6" borderId="11" xfId="1" applyNumberFormat="1" applyFont="1" applyFill="1" applyBorder="1" applyAlignment="1" applyProtection="1">
      <alignment horizontal="right" vertical="center"/>
      <protection locked="0"/>
    </xf>
    <xf numFmtId="3" fontId="3" fillId="6" borderId="22" xfId="1" applyNumberFormat="1" applyFont="1" applyFill="1" applyBorder="1" applyAlignment="1" applyProtection="1">
      <alignment horizontal="right" vertical="center"/>
      <protection locked="0"/>
    </xf>
    <xf numFmtId="3" fontId="3" fillId="6" borderId="24" xfId="1" applyNumberFormat="1" applyFont="1" applyFill="1" applyBorder="1" applyAlignment="1" applyProtection="1">
      <alignment horizontal="right" vertical="center"/>
      <protection locked="0"/>
    </xf>
    <xf numFmtId="3" fontId="3" fillId="6" borderId="25" xfId="1" applyNumberFormat="1" applyFont="1" applyFill="1" applyBorder="1" applyAlignment="1" applyProtection="1">
      <alignment horizontal="right" vertical="center"/>
      <protection locked="0"/>
    </xf>
    <xf numFmtId="3" fontId="6" fillId="6" borderId="27" xfId="1" applyNumberFormat="1" applyFont="1" applyFill="1" applyBorder="1" applyAlignment="1" applyProtection="1">
      <alignment horizontal="right" vertical="center"/>
      <protection locked="0"/>
    </xf>
    <xf numFmtId="0" fontId="5" fillId="0" borderId="20" xfId="0" applyFont="1" applyBorder="1" applyAlignment="1">
      <alignment horizontal="center"/>
    </xf>
    <xf numFmtId="3" fontId="6" fillId="6" borderId="22" xfId="1" applyNumberFormat="1" applyFont="1" applyFill="1" applyBorder="1" applyAlignment="1" applyProtection="1">
      <alignment horizontal="right" vertical="center"/>
      <protection locked="0"/>
    </xf>
    <xf numFmtId="3" fontId="5" fillId="0" borderId="0" xfId="0" applyNumberFormat="1" applyFont="1"/>
    <xf numFmtId="0" fontId="6" fillId="0" borderId="29" xfId="1" applyFont="1" applyBorder="1" applyAlignment="1">
      <alignment horizontal="left" vertical="center" shrinkToFit="1"/>
    </xf>
    <xf numFmtId="0" fontId="6" fillId="0" borderId="29" xfId="1" applyFont="1" applyBorder="1" applyAlignment="1">
      <alignment horizontal="center" vertical="top"/>
    </xf>
    <xf numFmtId="3" fontId="6" fillId="0" borderId="29" xfId="1" applyNumberFormat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6" fillId="3" borderId="30" xfId="1" applyFont="1" applyFill="1" applyBorder="1" applyAlignment="1">
      <alignment horizontal="left" vertical="center"/>
    </xf>
    <xf numFmtId="0" fontId="6" fillId="3" borderId="30" xfId="1" applyFont="1" applyFill="1" applyBorder="1" applyAlignment="1">
      <alignment horizontal="justify" vertical="top"/>
    </xf>
    <xf numFmtId="3" fontId="6" fillId="3" borderId="30" xfId="1" applyNumberFormat="1" applyFont="1" applyFill="1" applyBorder="1" applyAlignment="1">
      <alignment horizontal="right" vertical="center"/>
    </xf>
    <xf numFmtId="4" fontId="5" fillId="0" borderId="0" xfId="0" applyNumberFormat="1" applyFont="1"/>
    <xf numFmtId="0" fontId="6" fillId="5" borderId="30" xfId="1" applyFont="1" applyFill="1" applyBorder="1" applyAlignment="1">
      <alignment horizontal="right" vertical="center"/>
    </xf>
    <xf numFmtId="0" fontId="3" fillId="5" borderId="30" xfId="1" applyFont="1" applyFill="1" applyBorder="1" applyAlignment="1">
      <alignment horizontal="justify" vertical="top"/>
    </xf>
    <xf numFmtId="3" fontId="4" fillId="6" borderId="30" xfId="1" applyNumberFormat="1" applyFont="1" applyFill="1" applyBorder="1" applyAlignment="1" applyProtection="1">
      <alignment horizontal="right" vertical="center"/>
      <protection locked="0"/>
    </xf>
    <xf numFmtId="3" fontId="4" fillId="5" borderId="0" xfId="1" applyNumberFormat="1" applyFont="1" applyFill="1" applyAlignment="1">
      <alignment vertical="center"/>
    </xf>
    <xf numFmtId="0" fontId="6" fillId="4" borderId="31" xfId="1" applyFont="1" applyFill="1" applyBorder="1" applyAlignment="1">
      <alignment horizontal="left" vertical="center"/>
    </xf>
    <xf numFmtId="0" fontId="6" fillId="4" borderId="31" xfId="1" applyFont="1" applyFill="1" applyBorder="1" applyAlignment="1">
      <alignment horizontal="justify" vertical="top"/>
    </xf>
    <xf numFmtId="3" fontId="6" fillId="4" borderId="31" xfId="1" applyNumberFormat="1" applyFont="1" applyFill="1" applyBorder="1" applyAlignment="1">
      <alignment horizontal="right" vertical="center"/>
    </xf>
    <xf numFmtId="3" fontId="4" fillId="0" borderId="0" xfId="1" applyNumberFormat="1" applyFont="1" applyAlignment="1">
      <alignment vertical="center"/>
    </xf>
    <xf numFmtId="0" fontId="4" fillId="0" borderId="31" xfId="1" applyFont="1" applyBorder="1" applyAlignment="1">
      <alignment horizontal="left" vertical="center"/>
    </xf>
    <xf numFmtId="0" fontId="4" fillId="0" borderId="31" xfId="1" applyFont="1" applyBorder="1" applyAlignment="1">
      <alignment horizontal="justify" vertical="top"/>
    </xf>
    <xf numFmtId="3" fontId="4" fillId="6" borderId="31" xfId="1" applyNumberFormat="1" applyFont="1" applyFill="1" applyBorder="1" applyAlignment="1" applyProtection="1">
      <alignment horizontal="right" vertical="center"/>
      <protection locked="0"/>
    </xf>
    <xf numFmtId="4" fontId="4" fillId="0" borderId="0" xfId="1" applyNumberFormat="1" applyFont="1" applyAlignment="1">
      <alignment vertical="center"/>
    </xf>
    <xf numFmtId="0" fontId="6" fillId="4" borderId="31" xfId="1" applyFont="1" applyFill="1" applyBorder="1" applyAlignment="1">
      <alignment horizontal="left" vertical="center" wrapText="1"/>
    </xf>
    <xf numFmtId="0" fontId="6" fillId="4" borderId="31" xfId="1" applyFont="1" applyFill="1" applyBorder="1" applyAlignment="1">
      <alignment horizontal="left" vertical="top" wrapText="1"/>
    </xf>
    <xf numFmtId="3" fontId="6" fillId="6" borderId="31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 wrapText="1"/>
    </xf>
    <xf numFmtId="4" fontId="4" fillId="0" borderId="0" xfId="1" applyNumberFormat="1" applyFont="1" applyAlignment="1">
      <alignment vertical="center" wrapText="1"/>
    </xf>
    <xf numFmtId="0" fontId="6" fillId="3" borderId="31" xfId="1" applyFont="1" applyFill="1" applyBorder="1" applyAlignment="1">
      <alignment horizontal="left" vertical="center"/>
    </xf>
    <xf numFmtId="0" fontId="6" fillId="3" borderId="31" xfId="1" applyFont="1" applyFill="1" applyBorder="1" applyAlignment="1">
      <alignment horizontal="justify" vertical="top"/>
    </xf>
    <xf numFmtId="3" fontId="6" fillId="3" borderId="31" xfId="1" applyNumberFormat="1" applyFont="1" applyFill="1" applyBorder="1" applyAlignment="1">
      <alignment horizontal="right" vertical="center"/>
    </xf>
    <xf numFmtId="0" fontId="6" fillId="0" borderId="31" xfId="1" applyFont="1" applyBorder="1" applyAlignment="1">
      <alignment horizontal="left" vertical="center"/>
    </xf>
    <xf numFmtId="0" fontId="6" fillId="0" borderId="31" xfId="1" applyFont="1" applyBorder="1" applyAlignment="1">
      <alignment horizontal="justify" vertical="top"/>
    </xf>
    <xf numFmtId="3" fontId="6" fillId="0" borderId="31" xfId="1" applyNumberFormat="1" applyFont="1" applyBorder="1" applyAlignment="1">
      <alignment horizontal="right" vertical="center"/>
    </xf>
    <xf numFmtId="49" fontId="4" fillId="0" borderId="31" xfId="1" applyNumberFormat="1" applyFont="1" applyBorder="1" applyAlignment="1">
      <alignment horizontal="justify" vertical="top"/>
    </xf>
    <xf numFmtId="49" fontId="6" fillId="0" borderId="31" xfId="1" applyNumberFormat="1" applyFont="1" applyBorder="1" applyAlignment="1">
      <alignment horizontal="justify" vertical="top"/>
    </xf>
    <xf numFmtId="0" fontId="6" fillId="5" borderId="31" xfId="1" applyFont="1" applyFill="1" applyBorder="1" applyAlignment="1">
      <alignment horizontal="left" vertical="center"/>
    </xf>
    <xf numFmtId="0" fontId="6" fillId="5" borderId="31" xfId="1" applyFont="1" applyFill="1" applyBorder="1" applyAlignment="1">
      <alignment horizontal="justify" vertical="top"/>
    </xf>
    <xf numFmtId="0" fontId="6" fillId="5" borderId="31" xfId="1" applyFont="1" applyFill="1" applyBorder="1" applyAlignment="1">
      <alignment horizontal="justify" vertical="top" wrapText="1"/>
    </xf>
    <xf numFmtId="49" fontId="4" fillId="5" borderId="31" xfId="1" applyNumberFormat="1" applyFont="1" applyFill="1" applyBorder="1" applyAlignment="1">
      <alignment horizontal="justify" vertical="top"/>
    </xf>
    <xf numFmtId="0" fontId="6" fillId="0" borderId="30" xfId="1" applyFont="1" applyBorder="1" applyAlignment="1">
      <alignment horizontal="left" vertical="center"/>
    </xf>
    <xf numFmtId="49" fontId="4" fillId="0" borderId="30" xfId="1" applyNumberFormat="1" applyFont="1" applyBorder="1" applyAlignment="1">
      <alignment horizontal="justify" vertical="top"/>
    </xf>
    <xf numFmtId="3" fontId="6" fillId="6" borderId="30" xfId="1" applyNumberFormat="1" applyFont="1" applyFill="1" applyBorder="1" applyAlignment="1" applyProtection="1">
      <alignment horizontal="right" vertical="center"/>
      <protection locked="0"/>
    </xf>
    <xf numFmtId="0" fontId="6" fillId="0" borderId="32" xfId="1" applyFont="1" applyBorder="1" applyAlignment="1">
      <alignment horizontal="left" vertical="center"/>
    </xf>
    <xf numFmtId="0" fontId="6" fillId="0" borderId="32" xfId="1" applyFont="1" applyBorder="1" applyAlignment="1">
      <alignment horizontal="justify" vertical="top"/>
    </xf>
    <xf numFmtId="3" fontId="6" fillId="6" borderId="32" xfId="1" applyNumberFormat="1" applyFont="1" applyFill="1" applyBorder="1" applyAlignment="1" applyProtection="1">
      <alignment horizontal="right" vertical="center"/>
      <protection locked="0"/>
    </xf>
    <xf numFmtId="0" fontId="6" fillId="0" borderId="33" xfId="1" applyFont="1" applyBorder="1" applyAlignment="1">
      <alignment horizontal="left" vertical="center"/>
    </xf>
    <xf numFmtId="0" fontId="6" fillId="0" borderId="33" xfId="1" applyFont="1" applyBorder="1" applyAlignment="1">
      <alignment horizontal="justify" vertical="top"/>
    </xf>
    <xf numFmtId="3" fontId="6" fillId="6" borderId="33" xfId="1" applyNumberFormat="1" applyFont="1" applyFill="1" applyBorder="1" applyAlignment="1" applyProtection="1">
      <alignment horizontal="right" vertical="center"/>
      <protection locked="0"/>
    </xf>
    <xf numFmtId="49" fontId="10" fillId="0" borderId="30" xfId="1" applyNumberFormat="1" applyFont="1" applyBorder="1" applyAlignment="1">
      <alignment horizontal="justify" vertical="top"/>
    </xf>
    <xf numFmtId="49" fontId="3" fillId="0" borderId="31" xfId="1" applyNumberFormat="1" applyFont="1" applyBorder="1" applyAlignment="1">
      <alignment horizontal="justify" vertical="top"/>
    </xf>
    <xf numFmtId="0" fontId="3" fillId="0" borderId="31" xfId="1" applyFont="1" applyBorder="1" applyAlignment="1">
      <alignment horizontal="justify" vertical="top"/>
    </xf>
    <xf numFmtId="0" fontId="6" fillId="0" borderId="34" xfId="1" applyFont="1" applyBorder="1" applyAlignment="1">
      <alignment horizontal="left" vertical="center"/>
    </xf>
    <xf numFmtId="0" fontId="6" fillId="0" borderId="34" xfId="1" applyFont="1" applyBorder="1" applyAlignment="1">
      <alignment horizontal="justify" vertical="top"/>
    </xf>
    <xf numFmtId="3" fontId="6" fillId="3" borderId="31" xfId="1" applyNumberFormat="1" applyFont="1" applyFill="1" applyBorder="1" applyAlignment="1">
      <alignment vertical="center"/>
    </xf>
    <xf numFmtId="3" fontId="6" fillId="6" borderId="31" xfId="1" applyNumberFormat="1" applyFont="1" applyFill="1" applyBorder="1" applyAlignment="1" applyProtection="1">
      <alignment vertical="center"/>
      <protection locked="0"/>
    </xf>
    <xf numFmtId="0" fontId="6" fillId="3" borderId="34" xfId="1" applyFont="1" applyFill="1" applyBorder="1" applyAlignment="1">
      <alignment horizontal="left" vertical="center"/>
    </xf>
    <xf numFmtId="0" fontId="6" fillId="3" borderId="34" xfId="1" applyFont="1" applyFill="1" applyBorder="1" applyAlignment="1">
      <alignment horizontal="justify" vertical="top" wrapText="1"/>
    </xf>
    <xf numFmtId="3" fontId="6" fillId="6" borderId="34" xfId="1" applyNumberFormat="1" applyFont="1" applyFill="1" applyBorder="1" applyAlignment="1" applyProtection="1">
      <alignment vertical="center"/>
      <protection locked="0"/>
    </xf>
    <xf numFmtId="0" fontId="6" fillId="3" borderId="32" xfId="1" applyFont="1" applyFill="1" applyBorder="1" applyAlignment="1">
      <alignment horizontal="left" vertical="center"/>
    </xf>
    <xf numFmtId="0" fontId="6" fillId="3" borderId="32" xfId="1" applyFont="1" applyFill="1" applyBorder="1" applyAlignment="1">
      <alignment vertical="top"/>
    </xf>
    <xf numFmtId="3" fontId="6" fillId="3" borderId="32" xfId="1" applyNumberFormat="1" applyFont="1" applyFill="1" applyBorder="1" applyAlignment="1">
      <alignment vertical="center"/>
    </xf>
    <xf numFmtId="0" fontId="6" fillId="0" borderId="13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center" vertical="top"/>
    </xf>
    <xf numFmtId="3" fontId="6" fillId="0" borderId="9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vertical="top"/>
    </xf>
    <xf numFmtId="3" fontId="4" fillId="5" borderId="7" xfId="1" applyNumberFormat="1" applyFont="1" applyFill="1" applyBorder="1" applyAlignment="1">
      <alignment vertical="center"/>
    </xf>
    <xf numFmtId="3" fontId="4" fillId="5" borderId="22" xfId="1" applyNumberFormat="1" applyFont="1" applyFill="1" applyBorder="1" applyAlignment="1">
      <alignment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vertical="top"/>
    </xf>
    <xf numFmtId="3" fontId="4" fillId="5" borderId="24" xfId="1" applyNumberFormat="1" applyFont="1" applyFill="1" applyBorder="1" applyAlignment="1">
      <alignment vertical="center"/>
    </xf>
    <xf numFmtId="3" fontId="4" fillId="5" borderId="25" xfId="1" applyNumberFormat="1" applyFont="1" applyFill="1" applyBorder="1" applyAlignment="1">
      <alignment vertical="center"/>
    </xf>
    <xf numFmtId="0" fontId="5" fillId="0" borderId="0" xfId="0" applyFont="1" applyAlignment="1">
      <alignment vertical="top"/>
    </xf>
    <xf numFmtId="0" fontId="6" fillId="0" borderId="0" xfId="1" applyFont="1" applyAlignment="1">
      <alignment horizontal="center" vertical="center"/>
    </xf>
    <xf numFmtId="0" fontId="4" fillId="0" borderId="35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3" fontId="6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left" vertical="center" wrapText="1" shrinkToFit="1"/>
    </xf>
    <xf numFmtId="0" fontId="6" fillId="0" borderId="2" xfId="1" applyFont="1" applyBorder="1" applyAlignment="1">
      <alignment horizontal="center" vertical="center"/>
    </xf>
    <xf numFmtId="3" fontId="6" fillId="0" borderId="2" xfId="1" applyNumberFormat="1" applyFont="1" applyBorder="1" applyAlignment="1">
      <alignment horizontal="center" vertical="center"/>
    </xf>
    <xf numFmtId="3" fontId="6" fillId="5" borderId="3" xfId="1" applyNumberFormat="1" applyFont="1" applyFill="1" applyBorder="1" applyAlignment="1">
      <alignment horizontal="center" vertical="center"/>
    </xf>
    <xf numFmtId="3" fontId="6" fillId="0" borderId="3" xfId="1" applyNumberFormat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3" fontId="3" fillId="0" borderId="4" xfId="1" applyNumberFormat="1" applyFont="1" applyBorder="1" applyAlignment="1">
      <alignment horizontal="center" vertical="center"/>
    </xf>
    <xf numFmtId="3" fontId="3" fillId="0" borderId="5" xfId="1" applyNumberFormat="1" applyFont="1" applyBorder="1" applyAlignment="1">
      <alignment horizontal="center" vertical="center"/>
    </xf>
    <xf numFmtId="3" fontId="3" fillId="0" borderId="20" xfId="1" applyNumberFormat="1" applyFont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left" vertical="center"/>
    </xf>
    <xf numFmtId="0" fontId="6" fillId="2" borderId="7" xfId="1" applyFont="1" applyFill="1" applyBorder="1" applyAlignment="1">
      <alignment vertical="center"/>
    </xf>
    <xf numFmtId="3" fontId="6" fillId="2" borderId="7" xfId="1" applyNumberFormat="1" applyFont="1" applyFill="1" applyBorder="1" applyAlignment="1">
      <alignment horizontal="right" vertical="center"/>
    </xf>
    <xf numFmtId="3" fontId="6" fillId="2" borderId="22" xfId="1" applyNumberFormat="1" applyFont="1" applyFill="1" applyBorder="1" applyAlignment="1">
      <alignment horizontal="right" vertical="center"/>
    </xf>
    <xf numFmtId="0" fontId="6" fillId="4" borderId="6" xfId="1" applyFont="1" applyFill="1" applyBorder="1" applyAlignment="1">
      <alignment horizontal="left" vertical="center"/>
    </xf>
    <xf numFmtId="0" fontId="6" fillId="4" borderId="7" xfId="1" applyFont="1" applyFill="1" applyBorder="1" applyAlignment="1">
      <alignment vertical="center"/>
    </xf>
    <xf numFmtId="3" fontId="6" fillId="4" borderId="7" xfId="1" applyNumberFormat="1" applyFont="1" applyFill="1" applyBorder="1" applyAlignment="1">
      <alignment horizontal="right" vertical="center"/>
    </xf>
    <xf numFmtId="3" fontId="6" fillId="4" borderId="22" xfId="1" applyNumberFormat="1" applyFont="1" applyFill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0" fontId="3" fillId="0" borderId="7" xfId="1" applyFont="1" applyBorder="1" applyAlignment="1">
      <alignment vertical="center"/>
    </xf>
    <xf numFmtId="3" fontId="6" fillId="4" borderId="12" xfId="1" applyNumberFormat="1" applyFont="1" applyFill="1" applyBorder="1" applyAlignment="1">
      <alignment horizontal="right" vertical="center"/>
    </xf>
    <xf numFmtId="3" fontId="3" fillId="0" borderId="7" xfId="1" applyNumberFormat="1" applyFont="1" applyBorder="1" applyAlignment="1">
      <alignment horizontal="right" vertical="center"/>
    </xf>
    <xf numFmtId="3" fontId="3" fillId="0" borderId="22" xfId="1" applyNumberFormat="1" applyFont="1" applyBorder="1" applyAlignment="1">
      <alignment horizontal="right" vertical="center"/>
    </xf>
    <xf numFmtId="0" fontId="3" fillId="0" borderId="7" xfId="1" applyFont="1" applyBorder="1" applyAlignment="1">
      <alignment vertical="center" shrinkToFit="1"/>
    </xf>
    <xf numFmtId="0" fontId="3" fillId="5" borderId="6" xfId="1" applyFont="1" applyFill="1" applyBorder="1" applyAlignment="1">
      <alignment horizontal="left" vertical="center"/>
    </xf>
    <xf numFmtId="0" fontId="9" fillId="0" borderId="7" xfId="1" applyFont="1" applyBorder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6" fillId="4" borderId="7" xfId="1" applyFont="1" applyFill="1" applyBorder="1" applyAlignment="1">
      <alignment vertical="center" shrinkToFit="1"/>
    </xf>
    <xf numFmtId="0" fontId="3" fillId="0" borderId="8" xfId="1" applyFont="1" applyBorder="1" applyAlignment="1">
      <alignment horizontal="left" vertical="center"/>
    </xf>
    <xf numFmtId="0" fontId="3" fillId="0" borderId="4" xfId="1" applyFont="1" applyBorder="1" applyAlignment="1">
      <alignment vertical="center"/>
    </xf>
    <xf numFmtId="0" fontId="3" fillId="0" borderId="23" xfId="1" applyFont="1" applyBorder="1" applyAlignment="1">
      <alignment horizontal="left" vertical="center"/>
    </xf>
    <xf numFmtId="0" fontId="3" fillId="0" borderId="24" xfId="1" applyFont="1" applyBorder="1" applyAlignment="1">
      <alignment vertical="center"/>
    </xf>
    <xf numFmtId="0" fontId="3" fillId="0" borderId="13" xfId="1" applyFont="1" applyBorder="1" applyAlignment="1">
      <alignment horizontal="left" vertical="center"/>
    </xf>
    <xf numFmtId="0" fontId="3" fillId="0" borderId="9" xfId="1" applyFont="1" applyBorder="1" applyAlignment="1">
      <alignment vertical="center" wrapText="1"/>
    </xf>
    <xf numFmtId="3" fontId="3" fillId="0" borderId="9" xfId="1" applyNumberFormat="1" applyFont="1" applyBorder="1" applyAlignment="1">
      <alignment horizontal="right" vertical="center"/>
    </xf>
    <xf numFmtId="3" fontId="3" fillId="0" borderId="26" xfId="1" applyNumberFormat="1" applyFont="1" applyBorder="1" applyAlignment="1">
      <alignment horizontal="right" vertical="center"/>
    </xf>
    <xf numFmtId="0" fontId="3" fillId="0" borderId="4" xfId="1" applyFont="1" applyBorder="1" applyAlignment="1">
      <alignment vertical="center" wrapText="1"/>
    </xf>
    <xf numFmtId="0" fontId="6" fillId="4" borderId="10" xfId="1" applyFont="1" applyFill="1" applyBorder="1" applyAlignment="1">
      <alignment horizontal="left" vertical="center"/>
    </xf>
    <xf numFmtId="0" fontId="6" fillId="4" borderId="11" xfId="1" applyFont="1" applyFill="1" applyBorder="1" applyAlignment="1">
      <alignment vertical="center" shrinkToFit="1"/>
    </xf>
    <xf numFmtId="0" fontId="6" fillId="2" borderId="10" xfId="1" applyFont="1" applyFill="1" applyBorder="1" applyAlignment="1">
      <alignment horizontal="left" vertical="center"/>
    </xf>
    <xf numFmtId="0" fontId="6" fillId="2" borderId="11" xfId="1" applyFont="1" applyFill="1" applyBorder="1" applyAlignment="1">
      <alignment vertical="center" shrinkToFit="1"/>
    </xf>
    <xf numFmtId="0" fontId="7" fillId="3" borderId="1" xfId="1" applyFont="1" applyFill="1" applyBorder="1" applyAlignment="1">
      <alignment horizontal="left" vertical="center"/>
    </xf>
    <xf numFmtId="0" fontId="7" fillId="3" borderId="2" xfId="1" applyFont="1" applyFill="1" applyBorder="1" applyAlignment="1">
      <alignment vertical="center"/>
    </xf>
    <xf numFmtId="3" fontId="7" fillId="3" borderId="2" xfId="1" applyNumberFormat="1" applyFont="1" applyFill="1" applyBorder="1" applyAlignment="1">
      <alignment horizontal="right" vertical="center"/>
    </xf>
    <xf numFmtId="3" fontId="7" fillId="3" borderId="19" xfId="1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horizontal="left" vertical="center" wrapText="1"/>
    </xf>
    <xf numFmtId="0" fontId="6" fillId="3" borderId="15" xfId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vertical="center" wrapText="1"/>
    </xf>
    <xf numFmtId="0" fontId="3" fillId="5" borderId="7" xfId="1" applyFont="1" applyFill="1" applyBorder="1" applyAlignment="1">
      <alignment vertical="center" wrapText="1"/>
    </xf>
    <xf numFmtId="0" fontId="3" fillId="5" borderId="7" xfId="1" applyFont="1" applyFill="1" applyBorder="1" applyAlignment="1">
      <alignment vertical="center"/>
    </xf>
    <xf numFmtId="0" fontId="6" fillId="2" borderId="7" xfId="1" applyFont="1" applyFill="1" applyBorder="1" applyAlignment="1">
      <alignment vertical="center" wrapText="1"/>
    </xf>
    <xf numFmtId="3" fontId="3" fillId="5" borderId="7" xfId="1" applyNumberFormat="1" applyFont="1" applyFill="1" applyBorder="1" applyAlignment="1">
      <alignment horizontal="right" vertical="center"/>
    </xf>
    <xf numFmtId="3" fontId="3" fillId="5" borderId="22" xfId="1" applyNumberFormat="1" applyFont="1" applyFill="1" applyBorder="1" applyAlignment="1">
      <alignment horizontal="right" vertical="center"/>
    </xf>
    <xf numFmtId="0" fontId="3" fillId="0" borderId="24" xfId="1" applyFont="1" applyBorder="1" applyAlignment="1">
      <alignment vertical="center" wrapText="1"/>
    </xf>
    <xf numFmtId="3" fontId="3" fillId="0" borderId="24" xfId="1" applyNumberFormat="1" applyFont="1" applyBorder="1" applyAlignment="1">
      <alignment horizontal="right" vertical="center"/>
    </xf>
    <xf numFmtId="3" fontId="3" fillId="0" borderId="25" xfId="1" applyNumberFormat="1" applyFont="1" applyBorder="1" applyAlignment="1">
      <alignment horizontal="right" vertical="center"/>
    </xf>
    <xf numFmtId="3" fontId="3" fillId="5" borderId="4" xfId="1" applyNumberFormat="1" applyFont="1" applyFill="1" applyBorder="1" applyAlignment="1">
      <alignment horizontal="right" vertical="center"/>
    </xf>
    <xf numFmtId="0" fontId="3" fillId="0" borderId="11" xfId="1" applyFont="1" applyBorder="1" applyAlignment="1">
      <alignment vertical="center"/>
    </xf>
    <xf numFmtId="0" fontId="6" fillId="4" borderId="11" xfId="1" applyFont="1" applyFill="1" applyBorder="1" applyAlignment="1">
      <alignment vertical="center" wrapText="1" shrinkToFit="1"/>
    </xf>
    <xf numFmtId="3" fontId="6" fillId="4" borderId="11" xfId="1" applyNumberFormat="1" applyFont="1" applyFill="1" applyBorder="1" applyAlignment="1">
      <alignment horizontal="right" vertical="center"/>
    </xf>
    <xf numFmtId="0" fontId="3" fillId="0" borderId="7" xfId="1" applyFont="1" applyBorder="1" applyAlignment="1">
      <alignment vertical="center" wrapText="1" shrinkToFit="1"/>
    </xf>
    <xf numFmtId="0" fontId="3" fillId="0" borderId="10" xfId="1" applyFont="1" applyBorder="1" applyAlignment="1">
      <alignment horizontal="left" vertical="center"/>
    </xf>
    <xf numFmtId="0" fontId="3" fillId="0" borderId="11" xfId="1" applyFont="1" applyBorder="1" applyAlignment="1">
      <alignment vertical="center" wrapText="1" shrinkToFit="1"/>
    </xf>
    <xf numFmtId="49" fontId="3" fillId="0" borderId="11" xfId="1" applyNumberFormat="1" applyFont="1" applyBorder="1" applyAlignment="1">
      <alignment vertical="center" wrapText="1" shrinkToFit="1"/>
    </xf>
    <xf numFmtId="0" fontId="3" fillId="0" borderId="14" xfId="1" applyFont="1" applyBorder="1" applyAlignment="1">
      <alignment horizontal="left" vertical="center"/>
    </xf>
    <xf numFmtId="3" fontId="6" fillId="5" borderId="29" xfId="1" applyNumberFormat="1" applyFont="1" applyFill="1" applyBorder="1" applyAlignment="1">
      <alignment horizontal="center" vertical="center"/>
    </xf>
    <xf numFmtId="3" fontId="6" fillId="0" borderId="19" xfId="1" applyNumberFormat="1" applyFont="1" applyBorder="1" applyAlignment="1">
      <alignment horizontal="center" vertical="center"/>
    </xf>
    <xf numFmtId="0" fontId="3" fillId="0" borderId="36" xfId="1" applyFont="1" applyBorder="1" applyAlignment="1">
      <alignment vertical="center"/>
    </xf>
    <xf numFmtId="3" fontId="3" fillId="0" borderId="36" xfId="1" applyNumberFormat="1" applyFont="1" applyBorder="1" applyAlignment="1">
      <alignment horizontal="right" vertical="center"/>
    </xf>
    <xf numFmtId="3" fontId="3" fillId="0" borderId="37" xfId="1" applyNumberFormat="1" applyFont="1" applyBorder="1" applyAlignment="1">
      <alignment horizontal="right" vertical="center"/>
    </xf>
    <xf numFmtId="0" fontId="3" fillId="0" borderId="9" xfId="1" applyFont="1" applyBorder="1" applyAlignment="1">
      <alignment vertical="center"/>
    </xf>
    <xf numFmtId="3" fontId="3" fillId="5" borderId="20" xfId="1" applyNumberFormat="1" applyFont="1" applyFill="1" applyBorder="1" applyAlignment="1">
      <alignment horizontal="right" vertical="center"/>
    </xf>
    <xf numFmtId="0" fontId="3" fillId="0" borderId="0" xfId="1" applyFont="1" applyBorder="1" applyAlignment="1">
      <alignment vertical="center"/>
    </xf>
    <xf numFmtId="3" fontId="3" fillId="6" borderId="20" xfId="1" applyNumberFormat="1" applyFont="1" applyFill="1" applyBorder="1" applyAlignment="1" applyProtection="1">
      <alignment horizontal="right" vertical="center"/>
      <protection locked="0"/>
    </xf>
    <xf numFmtId="3" fontId="3" fillId="6" borderId="27" xfId="1" applyNumberFormat="1" applyFont="1" applyFill="1" applyBorder="1" applyAlignment="1" applyProtection="1">
      <alignment horizontal="right" vertical="center"/>
      <protection locked="0"/>
    </xf>
    <xf numFmtId="3" fontId="6" fillId="4" borderId="27" xfId="1" applyNumberFormat="1" applyFont="1" applyFill="1" applyBorder="1" applyAlignment="1">
      <alignment horizontal="right" vertical="center"/>
    </xf>
    <xf numFmtId="3" fontId="6" fillId="0" borderId="26" xfId="1" applyNumberFormat="1" applyFont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347D6-6658-40D9-8634-503F80BCB581}">
  <dimension ref="A1:F87"/>
  <sheetViews>
    <sheetView workbookViewId="0">
      <selection activeCell="A87" sqref="A1:F87"/>
    </sheetView>
  </sheetViews>
  <sheetFormatPr defaultColWidth="7.75" defaultRowHeight="14.25"/>
  <cols>
    <col min="1" max="1" width="4.375" customWidth="1"/>
    <col min="2" max="2" width="31.75" customWidth="1"/>
    <col min="3" max="6" width="11.75" customWidth="1"/>
  </cols>
  <sheetData>
    <row r="1" spans="1:6" ht="15" thickBot="1">
      <c r="A1" s="1"/>
      <c r="B1" s="85" t="s">
        <v>344</v>
      </c>
      <c r="C1" s="1"/>
      <c r="D1" s="1"/>
      <c r="E1" s="1"/>
      <c r="F1" s="1"/>
    </row>
    <row r="2" spans="1:6" ht="15" thickBot="1">
      <c r="A2" s="15"/>
      <c r="B2" s="16" t="s">
        <v>1</v>
      </c>
      <c r="C2" s="161">
        <v>2020</v>
      </c>
      <c r="D2" s="17">
        <v>2021</v>
      </c>
      <c r="E2" s="17">
        <v>2022</v>
      </c>
      <c r="F2" s="17">
        <v>2023</v>
      </c>
    </row>
    <row r="3" spans="1:6" ht="24">
      <c r="A3" s="19" t="s">
        <v>3</v>
      </c>
      <c r="B3" s="20" t="s">
        <v>216</v>
      </c>
      <c r="C3" s="21">
        <f t="shared" ref="C3:F3" si="0">C5+C10</f>
        <v>55872442.600000001</v>
      </c>
      <c r="D3" s="21">
        <f t="shared" si="0"/>
        <v>63541400</v>
      </c>
      <c r="E3" s="21">
        <f t="shared" si="0"/>
        <v>56643710</v>
      </c>
      <c r="F3" s="21">
        <f t="shared" si="0"/>
        <v>57240600</v>
      </c>
    </row>
    <row r="4" spans="1:6">
      <c r="A4" s="23" t="s">
        <v>217</v>
      </c>
      <c r="B4" s="24" t="s">
        <v>218</v>
      </c>
      <c r="C4" s="25">
        <v>0</v>
      </c>
      <c r="D4" s="25">
        <v>0</v>
      </c>
      <c r="E4" s="25">
        <v>0</v>
      </c>
      <c r="F4" s="25">
        <v>0</v>
      </c>
    </row>
    <row r="5" spans="1:6">
      <c r="A5" s="27" t="s">
        <v>219</v>
      </c>
      <c r="B5" s="28" t="s">
        <v>220</v>
      </c>
      <c r="C5" s="29">
        <f>SUM(C6:C9)</f>
        <v>57012080.600000001</v>
      </c>
      <c r="D5" s="29">
        <f t="shared" ref="D5:F5" si="1">SUM(D6:D9)</f>
        <v>63541400</v>
      </c>
      <c r="E5" s="29">
        <f t="shared" si="1"/>
        <v>56643710</v>
      </c>
      <c r="F5" s="29">
        <f t="shared" si="1"/>
        <v>57240600</v>
      </c>
    </row>
    <row r="6" spans="1:6">
      <c r="A6" s="31" t="s">
        <v>7</v>
      </c>
      <c r="B6" s="32" t="s">
        <v>222</v>
      </c>
      <c r="C6" s="33">
        <f>14711087.65+4274.68+25523507.71+3376947.42+892317.93+4966639.58+142670.34+630000</f>
        <v>50247445.310000002</v>
      </c>
      <c r="D6" s="33">
        <f>24350000+20191900+7200000+4026000-180460</f>
        <v>55587440</v>
      </c>
      <c r="E6" s="33">
        <f>50443710</f>
        <v>50443710</v>
      </c>
      <c r="F6" s="33">
        <f>50940600</f>
        <v>50940600</v>
      </c>
    </row>
    <row r="7" spans="1:6">
      <c r="A7" s="31" t="s">
        <v>9</v>
      </c>
      <c r="B7" s="32" t="s">
        <v>223</v>
      </c>
      <c r="C7" s="33">
        <v>0</v>
      </c>
      <c r="D7" s="33"/>
      <c r="E7" s="33"/>
      <c r="F7" s="33"/>
    </row>
    <row r="8" spans="1:6">
      <c r="A8" s="31" t="s">
        <v>11</v>
      </c>
      <c r="B8" s="32" t="s">
        <v>224</v>
      </c>
      <c r="C8" s="33">
        <v>1093860.05</v>
      </c>
      <c r="D8" s="33">
        <v>1034960</v>
      </c>
      <c r="E8" s="33">
        <v>1000000</v>
      </c>
      <c r="F8" s="33">
        <v>1000000</v>
      </c>
    </row>
    <row r="9" spans="1:6">
      <c r="A9" s="31" t="s">
        <v>13</v>
      </c>
      <c r="B9" s="32" t="s">
        <v>226</v>
      </c>
      <c r="C9" s="33">
        <f>4025897.12+447085+137700+552817.12+507276</f>
        <v>5670775.2400000002</v>
      </c>
      <c r="D9" s="33">
        <f>4026000+888000+450000+1000000+555000</f>
        <v>6919000</v>
      </c>
      <c r="E9" s="33">
        <v>5200000</v>
      </c>
      <c r="F9" s="33">
        <v>5300000</v>
      </c>
    </row>
    <row r="10" spans="1:6" ht="36">
      <c r="A10" s="35" t="s">
        <v>15</v>
      </c>
      <c r="B10" s="36" t="s">
        <v>228</v>
      </c>
      <c r="C10" s="37">
        <f>-1139638</f>
        <v>-1139638</v>
      </c>
      <c r="D10" s="37">
        <v>0</v>
      </c>
      <c r="E10" s="37">
        <v>0</v>
      </c>
      <c r="F10" s="37">
        <v>0</v>
      </c>
    </row>
    <row r="11" spans="1:6" ht="24">
      <c r="A11" s="27" t="s">
        <v>33</v>
      </c>
      <c r="B11" s="28" t="s">
        <v>229</v>
      </c>
      <c r="C11" s="37">
        <v>0</v>
      </c>
      <c r="D11" s="37">
        <v>0</v>
      </c>
      <c r="E11" s="37">
        <v>0</v>
      </c>
      <c r="F11" s="37">
        <v>0</v>
      </c>
    </row>
    <row r="12" spans="1:6" ht="24">
      <c r="A12" s="27" t="s">
        <v>41</v>
      </c>
      <c r="B12" s="28" t="s">
        <v>230</v>
      </c>
      <c r="C12" s="37">
        <v>0</v>
      </c>
      <c r="D12" s="37">
        <v>0</v>
      </c>
      <c r="E12" s="37">
        <v>0</v>
      </c>
      <c r="F12" s="37">
        <v>0</v>
      </c>
    </row>
    <row r="13" spans="1:6">
      <c r="A13" s="40" t="s">
        <v>69</v>
      </c>
      <c r="B13" s="41" t="s">
        <v>231</v>
      </c>
      <c r="C13" s="42">
        <f>C14+C15+C27+C32+C34+C38+C42</f>
        <v>58932143.940000005</v>
      </c>
      <c r="D13" s="42">
        <f t="shared" ref="D13:F13" si="2">D14+D15+D27+D32+D34+D38+D42</f>
        <v>65737060</v>
      </c>
      <c r="E13" s="42">
        <f t="shared" si="2"/>
        <v>59255110</v>
      </c>
      <c r="F13" s="42">
        <f t="shared" si="2"/>
        <v>59752000</v>
      </c>
    </row>
    <row r="14" spans="1:6">
      <c r="A14" s="27" t="s">
        <v>232</v>
      </c>
      <c r="B14" s="28" t="s">
        <v>233</v>
      </c>
      <c r="C14" s="37">
        <v>2457779</v>
      </c>
      <c r="D14" s="37">
        <v>2470000</v>
      </c>
      <c r="E14" s="37">
        <v>2400000</v>
      </c>
      <c r="F14" s="37">
        <v>2400000</v>
      </c>
    </row>
    <row r="15" spans="1:6">
      <c r="A15" s="27" t="s">
        <v>83</v>
      </c>
      <c r="B15" s="28" t="s">
        <v>234</v>
      </c>
      <c r="C15" s="29">
        <f>C16+C23</f>
        <v>8321102.9699999997</v>
      </c>
      <c r="D15" s="29">
        <f t="shared" ref="D15:F15" si="3">D16+D23</f>
        <v>8863220</v>
      </c>
      <c r="E15" s="29">
        <f t="shared" si="3"/>
        <v>8060000</v>
      </c>
      <c r="F15" s="29">
        <f t="shared" si="3"/>
        <v>8200000</v>
      </c>
    </row>
    <row r="16" spans="1:6">
      <c r="A16" s="43" t="s">
        <v>235</v>
      </c>
      <c r="B16" s="44" t="s">
        <v>236</v>
      </c>
      <c r="C16" s="45">
        <f>SUM(C17:C22)</f>
        <v>7388284.5899999999</v>
      </c>
      <c r="D16" s="45">
        <f t="shared" ref="D16:F16" si="4">SUM(D17:D22)</f>
        <v>7860220</v>
      </c>
      <c r="E16" s="45">
        <f t="shared" si="4"/>
        <v>7010000</v>
      </c>
      <c r="F16" s="45">
        <f t="shared" si="4"/>
        <v>7090000</v>
      </c>
    </row>
    <row r="17" spans="1:6">
      <c r="A17" s="31" t="s">
        <v>87</v>
      </c>
      <c r="B17" s="46" t="s">
        <v>237</v>
      </c>
      <c r="C17" s="33">
        <f>1301954+575217+100000+39040</f>
        <v>2016211</v>
      </c>
      <c r="D17" s="33">
        <v>2040000</v>
      </c>
      <c r="E17" s="33">
        <v>2030000</v>
      </c>
      <c r="F17" s="33">
        <v>2100000</v>
      </c>
    </row>
    <row r="18" spans="1:6">
      <c r="A18" s="31" t="s">
        <v>92</v>
      </c>
      <c r="B18" s="46" t="s">
        <v>238</v>
      </c>
      <c r="C18" s="33">
        <v>308925.33</v>
      </c>
      <c r="D18" s="33">
        <v>310000</v>
      </c>
      <c r="E18" s="33">
        <v>400000</v>
      </c>
      <c r="F18" s="33">
        <v>410000</v>
      </c>
    </row>
    <row r="19" spans="1:6">
      <c r="A19" s="31" t="s">
        <v>239</v>
      </c>
      <c r="B19" s="46" t="s">
        <v>240</v>
      </c>
      <c r="C19" s="33">
        <v>2455931</v>
      </c>
      <c r="D19" s="33">
        <v>2509000</v>
      </c>
      <c r="E19" s="33">
        <v>2000000</v>
      </c>
      <c r="F19" s="33">
        <v>2000000</v>
      </c>
    </row>
    <row r="20" spans="1:6" ht="24">
      <c r="A20" s="31" t="s">
        <v>241</v>
      </c>
      <c r="B20" s="46" t="s">
        <v>242</v>
      </c>
      <c r="C20" s="33">
        <f>608587+243475+20000</f>
        <v>872062</v>
      </c>
      <c r="D20" s="33">
        <f>710000+245000</f>
        <v>955000</v>
      </c>
      <c r="E20" s="33">
        <v>900000</v>
      </c>
      <c r="F20" s="33">
        <v>900000</v>
      </c>
    </row>
    <row r="21" spans="1:6">
      <c r="A21" s="31" t="s">
        <v>243</v>
      </c>
      <c r="B21" s="46" t="s">
        <v>244</v>
      </c>
      <c r="C21" s="33">
        <v>166551.26</v>
      </c>
      <c r="D21" s="33">
        <v>180000</v>
      </c>
      <c r="E21" s="33">
        <v>180000</v>
      </c>
      <c r="F21" s="33">
        <v>180000</v>
      </c>
    </row>
    <row r="22" spans="1:6">
      <c r="A22" s="31" t="s">
        <v>245</v>
      </c>
      <c r="B22" s="46" t="s">
        <v>246</v>
      </c>
      <c r="C22" s="33">
        <f>1588604-20000</f>
        <v>1568604</v>
      </c>
      <c r="D22" s="33">
        <f>1867370-1150</f>
        <v>1866220</v>
      </c>
      <c r="E22" s="33">
        <v>1500000</v>
      </c>
      <c r="F22" s="33">
        <v>1500000</v>
      </c>
    </row>
    <row r="23" spans="1:6">
      <c r="A23" s="43" t="s">
        <v>94</v>
      </c>
      <c r="B23" s="47" t="s">
        <v>247</v>
      </c>
      <c r="C23" s="45">
        <f>C24+C25</f>
        <v>932818.38</v>
      </c>
      <c r="D23" s="45">
        <f t="shared" ref="D23:F23" si="5">D24+D25</f>
        <v>1003000</v>
      </c>
      <c r="E23" s="45">
        <f t="shared" si="5"/>
        <v>1050000</v>
      </c>
      <c r="F23" s="45">
        <f t="shared" si="5"/>
        <v>1110000</v>
      </c>
    </row>
    <row r="24" spans="1:6">
      <c r="A24" s="31" t="s">
        <v>248</v>
      </c>
      <c r="B24" s="46" t="s">
        <v>249</v>
      </c>
      <c r="C24" s="33">
        <v>607325.9</v>
      </c>
      <c r="D24" s="33">
        <v>670000</v>
      </c>
      <c r="E24" s="33">
        <v>700000</v>
      </c>
      <c r="F24" s="33">
        <v>730000</v>
      </c>
    </row>
    <row r="25" spans="1:6">
      <c r="A25" s="31" t="s">
        <v>99</v>
      </c>
      <c r="B25" s="46" t="s">
        <v>250</v>
      </c>
      <c r="C25" s="33">
        <v>325492.47999999998</v>
      </c>
      <c r="D25" s="33">
        <f>330000+3000</f>
        <v>333000</v>
      </c>
      <c r="E25" s="33">
        <v>350000</v>
      </c>
      <c r="F25" s="33">
        <v>380000</v>
      </c>
    </row>
    <row r="26" spans="1:6">
      <c r="A26" s="31" t="s">
        <v>251</v>
      </c>
      <c r="B26" s="46" t="s">
        <v>246</v>
      </c>
      <c r="C26" s="33">
        <v>0</v>
      </c>
      <c r="D26" s="33">
        <v>0</v>
      </c>
      <c r="E26" s="33">
        <v>0</v>
      </c>
      <c r="F26" s="33">
        <v>0</v>
      </c>
    </row>
    <row r="27" spans="1:6">
      <c r="A27" s="27" t="s">
        <v>109</v>
      </c>
      <c r="B27" s="28" t="s">
        <v>252</v>
      </c>
      <c r="C27" s="29">
        <f>C28+C29+C30+C31</f>
        <v>19126873.810000002</v>
      </c>
      <c r="D27" s="29">
        <f t="shared" ref="D27:F27" si="6">D28+D29+D30+D31</f>
        <v>19677800</v>
      </c>
      <c r="E27" s="29">
        <f t="shared" si="6"/>
        <v>19125110</v>
      </c>
      <c r="F27" s="29">
        <f t="shared" si="6"/>
        <v>19260000</v>
      </c>
    </row>
    <row r="28" spans="1:6">
      <c r="A28" s="48" t="s">
        <v>111</v>
      </c>
      <c r="B28" s="49" t="s">
        <v>253</v>
      </c>
      <c r="C28" s="37">
        <v>48620</v>
      </c>
      <c r="D28" s="37">
        <v>52660</v>
      </c>
      <c r="E28" s="37">
        <v>50000</v>
      </c>
      <c r="F28" s="37">
        <v>50000</v>
      </c>
    </row>
    <row r="29" spans="1:6">
      <c r="A29" s="48" t="s">
        <v>125</v>
      </c>
      <c r="B29" s="49" t="s">
        <v>254</v>
      </c>
      <c r="C29" s="37">
        <v>4473</v>
      </c>
      <c r="D29" s="37">
        <v>12800</v>
      </c>
      <c r="E29" s="37">
        <v>10000</v>
      </c>
      <c r="F29" s="37">
        <v>10000</v>
      </c>
    </row>
    <row r="30" spans="1:6" ht="24">
      <c r="A30" s="48" t="s">
        <v>182</v>
      </c>
      <c r="B30" s="50" t="s">
        <v>255</v>
      </c>
      <c r="C30" s="37">
        <f>10724534.81+3730514+188332+19460</f>
        <v>14662840.810000001</v>
      </c>
      <c r="D30" s="37">
        <v>15220000</v>
      </c>
      <c r="E30" s="37">
        <v>14865110</v>
      </c>
      <c r="F30" s="37">
        <v>14900000</v>
      </c>
    </row>
    <row r="31" spans="1:6">
      <c r="A31" s="48" t="s">
        <v>198</v>
      </c>
      <c r="B31" s="50" t="s">
        <v>256</v>
      </c>
      <c r="C31" s="37">
        <f>2355257+1374820+680863</f>
        <v>4410940</v>
      </c>
      <c r="D31" s="37">
        <f>1323097+808870+1903853+356520</f>
        <v>4392340</v>
      </c>
      <c r="E31" s="37">
        <v>4200000</v>
      </c>
      <c r="F31" s="37">
        <f>4300000</f>
        <v>4300000</v>
      </c>
    </row>
    <row r="32" spans="1:6">
      <c r="A32" s="27" t="s">
        <v>127</v>
      </c>
      <c r="B32" s="28" t="s">
        <v>257</v>
      </c>
      <c r="C32" s="37">
        <v>97366.65</v>
      </c>
      <c r="D32" s="37">
        <v>100000</v>
      </c>
      <c r="E32" s="37">
        <v>100000</v>
      </c>
      <c r="F32" s="37">
        <v>100000</v>
      </c>
    </row>
    <row r="33" spans="1:6">
      <c r="A33" s="31"/>
      <c r="B33" s="46" t="s">
        <v>258</v>
      </c>
      <c r="C33" s="33">
        <v>0</v>
      </c>
      <c r="D33" s="33">
        <v>0</v>
      </c>
      <c r="E33" s="33">
        <v>0</v>
      </c>
      <c r="F33" s="33">
        <v>0</v>
      </c>
    </row>
    <row r="34" spans="1:6">
      <c r="A34" s="27" t="s">
        <v>259</v>
      </c>
      <c r="B34" s="28" t="s">
        <v>260</v>
      </c>
      <c r="C34" s="29">
        <f>C35+C36</f>
        <v>23835661.030000001</v>
      </c>
      <c r="D34" s="29">
        <f t="shared" ref="D34:F34" si="7">D35+D36</f>
        <v>28800000</v>
      </c>
      <c r="E34" s="29">
        <f t="shared" si="7"/>
        <v>24450000</v>
      </c>
      <c r="F34" s="29">
        <f t="shared" si="7"/>
        <v>24600000</v>
      </c>
    </row>
    <row r="35" spans="1:6">
      <c r="A35" s="48" t="s">
        <v>261</v>
      </c>
      <c r="B35" s="49" t="s">
        <v>262</v>
      </c>
      <c r="C35" s="37">
        <f>19552757+1500000</f>
        <v>21052757</v>
      </c>
      <c r="D35" s="37">
        <v>25600000</v>
      </c>
      <c r="E35" s="37">
        <f>22000000-400000</f>
        <v>21600000</v>
      </c>
      <c r="F35" s="37">
        <v>21700000</v>
      </c>
    </row>
    <row r="36" spans="1:6">
      <c r="A36" s="48" t="s">
        <v>263</v>
      </c>
      <c r="B36" s="49" t="s">
        <v>264</v>
      </c>
      <c r="C36" s="37">
        <f>2488974.03+293930</f>
        <v>2782904.03</v>
      </c>
      <c r="D36" s="37">
        <f>2400000+800000</f>
        <v>3200000</v>
      </c>
      <c r="E36" s="37">
        <v>2850000</v>
      </c>
      <c r="F36" s="37">
        <v>2900000</v>
      </c>
    </row>
    <row r="37" spans="1:6">
      <c r="A37" s="48" t="s">
        <v>265</v>
      </c>
      <c r="B37" s="49" t="s">
        <v>266</v>
      </c>
      <c r="C37" s="37">
        <v>0</v>
      </c>
      <c r="D37" s="37">
        <v>0</v>
      </c>
      <c r="E37" s="37">
        <v>0</v>
      </c>
      <c r="F37" s="37">
        <v>0</v>
      </c>
    </row>
    <row r="38" spans="1:6" ht="24">
      <c r="A38" s="27" t="s">
        <v>267</v>
      </c>
      <c r="B38" s="28" t="s">
        <v>268</v>
      </c>
      <c r="C38" s="37">
        <f>C39+C40+C41</f>
        <v>4618724.21</v>
      </c>
      <c r="D38" s="37">
        <f t="shared" ref="D38:F38" si="8">D39+D40+D41</f>
        <v>5334040</v>
      </c>
      <c r="E38" s="37">
        <f t="shared" si="8"/>
        <v>4620000</v>
      </c>
      <c r="F38" s="37">
        <f t="shared" si="8"/>
        <v>4682000</v>
      </c>
    </row>
    <row r="39" spans="1:6">
      <c r="A39" s="31"/>
      <c r="B39" s="46" t="s">
        <v>269</v>
      </c>
      <c r="C39" s="33">
        <f>3385459.36+700000+21456</f>
        <v>4106915.36</v>
      </c>
      <c r="D39" s="33">
        <f>4480770+300000-60000-420</f>
        <v>4720350</v>
      </c>
      <c r="E39" s="33">
        <f>4100000</f>
        <v>4100000</v>
      </c>
      <c r="F39" s="33">
        <v>4150000</v>
      </c>
    </row>
    <row r="40" spans="1:6">
      <c r="A40" s="31"/>
      <c r="B40" s="46" t="s">
        <v>270</v>
      </c>
      <c r="C40" s="33">
        <v>437344.18</v>
      </c>
      <c r="D40" s="33">
        <v>526000</v>
      </c>
      <c r="E40" s="33">
        <v>440000</v>
      </c>
      <c r="F40" s="33">
        <v>450000</v>
      </c>
    </row>
    <row r="41" spans="1:6" ht="24">
      <c r="A41" s="31"/>
      <c r="B41" s="46" t="s">
        <v>271</v>
      </c>
      <c r="C41" s="33">
        <v>74464.67</v>
      </c>
      <c r="D41" s="33">
        <v>87690</v>
      </c>
      <c r="E41" s="33">
        <v>80000</v>
      </c>
      <c r="F41" s="33">
        <v>82000</v>
      </c>
    </row>
    <row r="42" spans="1:6">
      <c r="A42" s="27" t="s">
        <v>272</v>
      </c>
      <c r="B42" s="28" t="s">
        <v>273</v>
      </c>
      <c r="C42" s="37">
        <f>474636.27</f>
        <v>474636.27</v>
      </c>
      <c r="D42" s="37">
        <v>492000</v>
      </c>
      <c r="E42" s="37">
        <v>500000</v>
      </c>
      <c r="F42" s="37">
        <v>510000</v>
      </c>
    </row>
    <row r="43" spans="1:6">
      <c r="A43" s="48"/>
      <c r="B43" s="51" t="s">
        <v>274</v>
      </c>
      <c r="C43" s="33">
        <v>8069.39</v>
      </c>
      <c r="D43" s="33">
        <v>8400</v>
      </c>
      <c r="E43" s="33">
        <v>9000</v>
      </c>
      <c r="F43" s="33">
        <v>9000</v>
      </c>
    </row>
    <row r="44" spans="1:6" ht="24">
      <c r="A44" s="27" t="s">
        <v>275</v>
      </c>
      <c r="B44" s="28" t="s">
        <v>276</v>
      </c>
      <c r="C44" s="37">
        <v>0</v>
      </c>
      <c r="D44" s="37">
        <v>0</v>
      </c>
      <c r="E44" s="37">
        <v>0</v>
      </c>
      <c r="F44" s="37">
        <v>0</v>
      </c>
    </row>
    <row r="45" spans="1:6">
      <c r="A45" s="40" t="s">
        <v>129</v>
      </c>
      <c r="B45" s="41" t="s">
        <v>277</v>
      </c>
      <c r="C45" s="42">
        <f>C3-C13</f>
        <v>-3059701.3400000036</v>
      </c>
      <c r="D45" s="42">
        <f t="shared" ref="D45:F45" si="9">D3-D13</f>
        <v>-2195660</v>
      </c>
      <c r="E45" s="42">
        <f t="shared" si="9"/>
        <v>-2611400</v>
      </c>
      <c r="F45" s="42">
        <f t="shared" si="9"/>
        <v>-2511400</v>
      </c>
    </row>
    <row r="46" spans="1:6">
      <c r="A46" s="40" t="s">
        <v>131</v>
      </c>
      <c r="B46" s="41" t="s">
        <v>278</v>
      </c>
      <c r="C46" s="42">
        <f>C47+C48+C51+C52</f>
        <v>5563195.619494671</v>
      </c>
      <c r="D46" s="42">
        <f t="shared" ref="D46:F46" si="10">D47+D48+D51+D52</f>
        <v>3695620</v>
      </c>
      <c r="E46" s="42">
        <f t="shared" si="10"/>
        <v>3590000</v>
      </c>
      <c r="F46" s="42">
        <f t="shared" si="10"/>
        <v>3540000</v>
      </c>
    </row>
    <row r="47" spans="1:6" ht="24">
      <c r="A47" s="43" t="s">
        <v>279</v>
      </c>
      <c r="B47" s="44" t="s">
        <v>280</v>
      </c>
      <c r="C47" s="37">
        <v>39249.980000000003</v>
      </c>
      <c r="D47" s="37">
        <v>0</v>
      </c>
      <c r="E47" s="37">
        <v>0</v>
      </c>
      <c r="F47" s="37">
        <v>0</v>
      </c>
    </row>
    <row r="48" spans="1:6">
      <c r="A48" s="43" t="s">
        <v>281</v>
      </c>
      <c r="B48" s="44" t="s">
        <v>282</v>
      </c>
      <c r="C48" s="37">
        <f>C49+C50</f>
        <v>725651.17</v>
      </c>
      <c r="D48" s="37">
        <f t="shared" ref="D48:F48" si="11">D49+D50</f>
        <v>537000</v>
      </c>
      <c r="E48" s="37">
        <f t="shared" si="11"/>
        <v>590000</v>
      </c>
      <c r="F48" s="37">
        <f t="shared" si="11"/>
        <v>590000</v>
      </c>
    </row>
    <row r="49" spans="1:6">
      <c r="A49" s="52"/>
      <c r="B49" s="53" t="s">
        <v>208</v>
      </c>
      <c r="C49" s="54">
        <f>381489.77+301288.89</f>
        <v>682778.66</v>
      </c>
      <c r="D49" s="54">
        <v>502000</v>
      </c>
      <c r="E49" s="54">
        <v>550000</v>
      </c>
      <c r="F49" s="54">
        <v>550000</v>
      </c>
    </row>
    <row r="50" spans="1:6" ht="24">
      <c r="A50" s="43"/>
      <c r="B50" s="46" t="s">
        <v>283</v>
      </c>
      <c r="C50" s="37">
        <v>42872.51</v>
      </c>
      <c r="D50" s="37">
        <v>35000</v>
      </c>
      <c r="E50" s="37">
        <v>40000</v>
      </c>
      <c r="F50" s="37">
        <v>40000</v>
      </c>
    </row>
    <row r="51" spans="1:6" ht="24.75" thickBot="1">
      <c r="A51" s="55" t="s">
        <v>284</v>
      </c>
      <c r="B51" s="56" t="s">
        <v>285</v>
      </c>
      <c r="C51" s="57">
        <v>0</v>
      </c>
      <c r="D51" s="57">
        <v>0</v>
      </c>
      <c r="E51" s="57">
        <v>0</v>
      </c>
      <c r="F51" s="57">
        <v>0</v>
      </c>
    </row>
    <row r="52" spans="1:6">
      <c r="A52" s="58" t="s">
        <v>286</v>
      </c>
      <c r="B52" s="59" t="s">
        <v>287</v>
      </c>
      <c r="C52" s="60">
        <f>C53+C54</f>
        <v>4798294.4694946706</v>
      </c>
      <c r="D52" s="60">
        <f t="shared" ref="D52:F52" si="12">D53+D54</f>
        <v>3158620</v>
      </c>
      <c r="E52" s="60">
        <f t="shared" si="12"/>
        <v>3000000</v>
      </c>
      <c r="F52" s="60">
        <f t="shared" si="12"/>
        <v>2950000</v>
      </c>
    </row>
    <row r="53" spans="1:6">
      <c r="A53" s="52"/>
      <c r="B53" s="61" t="s">
        <v>288</v>
      </c>
      <c r="C53" s="54">
        <f>40842.55+2751815.92949467+1861.77+151251.75+61097.58+6774.24+33849</f>
        <v>3047492.8194946703</v>
      </c>
      <c r="D53" s="54">
        <f>41000+180000+90000+1040780+6840</f>
        <v>1358620</v>
      </c>
      <c r="E53" s="54">
        <v>1200000</v>
      </c>
      <c r="F53" s="54">
        <v>1200000</v>
      </c>
    </row>
    <row r="54" spans="1:6" ht="48">
      <c r="A54" s="43"/>
      <c r="B54" s="46" t="s">
        <v>289</v>
      </c>
      <c r="C54" s="37">
        <v>1750801.65</v>
      </c>
      <c r="D54" s="37">
        <v>1800000</v>
      </c>
      <c r="E54" s="37">
        <v>1800000</v>
      </c>
      <c r="F54" s="37">
        <v>1750000</v>
      </c>
    </row>
    <row r="55" spans="1:6">
      <c r="A55" s="40" t="s">
        <v>290</v>
      </c>
      <c r="B55" s="41" t="s">
        <v>291</v>
      </c>
      <c r="C55" s="42">
        <f>C56+C57+C58</f>
        <v>1447972.86</v>
      </c>
      <c r="D55" s="42">
        <f t="shared" ref="D55:F55" si="13">D56+D57+D58</f>
        <v>300160</v>
      </c>
      <c r="E55" s="42">
        <f t="shared" si="13"/>
        <v>300000</v>
      </c>
      <c r="F55" s="42">
        <f t="shared" si="13"/>
        <v>300000</v>
      </c>
    </row>
    <row r="56" spans="1:6" ht="24">
      <c r="A56" s="43" t="s">
        <v>292</v>
      </c>
      <c r="B56" s="44" t="s">
        <v>293</v>
      </c>
      <c r="C56" s="37">
        <v>0</v>
      </c>
      <c r="D56" s="37">
        <v>0</v>
      </c>
      <c r="E56" s="37">
        <v>0</v>
      </c>
      <c r="F56" s="37">
        <v>0</v>
      </c>
    </row>
    <row r="57" spans="1:6" ht="24">
      <c r="A57" s="43" t="s">
        <v>294</v>
      </c>
      <c r="B57" s="44" t="s">
        <v>295</v>
      </c>
      <c r="C57" s="37">
        <v>18269.599999999999</v>
      </c>
      <c r="D57" s="37">
        <v>0</v>
      </c>
      <c r="E57" s="37">
        <v>0</v>
      </c>
      <c r="F57" s="37">
        <v>0</v>
      </c>
    </row>
    <row r="58" spans="1:6">
      <c r="A58" s="43" t="s">
        <v>296</v>
      </c>
      <c r="B58" s="44" t="s">
        <v>297</v>
      </c>
      <c r="C58" s="37">
        <v>1429703.26</v>
      </c>
      <c r="D58" s="37">
        <f>82800+217360</f>
        <v>300160</v>
      </c>
      <c r="E58" s="37">
        <v>300000</v>
      </c>
      <c r="F58" s="37">
        <v>300000</v>
      </c>
    </row>
    <row r="59" spans="1:6" ht="24">
      <c r="A59" s="40" t="s">
        <v>298</v>
      </c>
      <c r="B59" s="41" t="s">
        <v>299</v>
      </c>
      <c r="C59" s="42">
        <f>C45+C46-C55</f>
        <v>1055521.4194946673</v>
      </c>
      <c r="D59" s="42">
        <f t="shared" ref="D59:F59" si="14">D45+D46-D55</f>
        <v>1199800</v>
      </c>
      <c r="E59" s="42">
        <f t="shared" si="14"/>
        <v>678600</v>
      </c>
      <c r="F59" s="42">
        <f t="shared" si="14"/>
        <v>728600</v>
      </c>
    </row>
    <row r="60" spans="1:6">
      <c r="A60" s="40" t="s">
        <v>300</v>
      </c>
      <c r="B60" s="41" t="s">
        <v>301</v>
      </c>
      <c r="C60" s="42">
        <f>C66</f>
        <v>8524.5400000000009</v>
      </c>
      <c r="D60" s="42">
        <f t="shared" ref="D60:F60" si="15">D66</f>
        <v>0</v>
      </c>
      <c r="E60" s="42">
        <f t="shared" si="15"/>
        <v>0</v>
      </c>
      <c r="F60" s="42">
        <f t="shared" si="15"/>
        <v>0</v>
      </c>
    </row>
    <row r="61" spans="1:6">
      <c r="A61" s="43" t="s">
        <v>302</v>
      </c>
      <c r="B61" s="44" t="s">
        <v>303</v>
      </c>
      <c r="C61" s="45">
        <v>0</v>
      </c>
      <c r="D61" s="45">
        <v>0</v>
      </c>
      <c r="E61" s="45">
        <v>0</v>
      </c>
      <c r="F61" s="45">
        <v>0</v>
      </c>
    </row>
    <row r="62" spans="1:6">
      <c r="A62" s="31" t="s">
        <v>304</v>
      </c>
      <c r="B62" s="62" t="s">
        <v>218</v>
      </c>
      <c r="C62" s="33">
        <v>0</v>
      </c>
      <c r="D62" s="33">
        <v>0</v>
      </c>
      <c r="E62" s="33">
        <v>0</v>
      </c>
      <c r="F62" s="33">
        <v>0</v>
      </c>
    </row>
    <row r="63" spans="1:6" ht="24">
      <c r="A63" s="31" t="s">
        <v>305</v>
      </c>
      <c r="B63" s="46" t="s">
        <v>306</v>
      </c>
      <c r="C63" s="33">
        <v>0</v>
      </c>
      <c r="D63" s="33">
        <v>0</v>
      </c>
      <c r="E63" s="33">
        <v>0</v>
      </c>
      <c r="F63" s="33">
        <v>0</v>
      </c>
    </row>
    <row r="64" spans="1:6">
      <c r="A64" s="31" t="s">
        <v>307</v>
      </c>
      <c r="B64" s="62" t="s">
        <v>308</v>
      </c>
      <c r="C64" s="33">
        <v>0</v>
      </c>
      <c r="D64" s="33">
        <v>0</v>
      </c>
      <c r="E64" s="33">
        <v>0</v>
      </c>
      <c r="F64" s="33">
        <v>0</v>
      </c>
    </row>
    <row r="65" spans="1:6" ht="24">
      <c r="A65" s="31" t="s">
        <v>309</v>
      </c>
      <c r="B65" s="46" t="s">
        <v>306</v>
      </c>
      <c r="C65" s="33">
        <v>0</v>
      </c>
      <c r="D65" s="33">
        <v>0</v>
      </c>
      <c r="E65" s="33">
        <v>0</v>
      </c>
      <c r="F65" s="33">
        <v>0</v>
      </c>
    </row>
    <row r="66" spans="1:6">
      <c r="A66" s="43" t="s">
        <v>310</v>
      </c>
      <c r="B66" s="44" t="s">
        <v>311</v>
      </c>
      <c r="C66" s="37">
        <v>8524.5400000000009</v>
      </c>
      <c r="D66" s="37">
        <v>0</v>
      </c>
      <c r="E66" s="37">
        <v>0</v>
      </c>
      <c r="F66" s="37">
        <v>0</v>
      </c>
    </row>
    <row r="67" spans="1:6">
      <c r="A67" s="31" t="s">
        <v>312</v>
      </c>
      <c r="B67" s="63" t="s">
        <v>313</v>
      </c>
      <c r="C67" s="33">
        <v>0</v>
      </c>
      <c r="D67" s="33">
        <v>0</v>
      </c>
      <c r="E67" s="33">
        <v>0</v>
      </c>
      <c r="F67" s="33">
        <v>0</v>
      </c>
    </row>
    <row r="68" spans="1:6" ht="24">
      <c r="A68" s="43" t="s">
        <v>314</v>
      </c>
      <c r="B68" s="44" t="s">
        <v>315</v>
      </c>
      <c r="C68" s="37">
        <v>0</v>
      </c>
      <c r="D68" s="37">
        <v>0</v>
      </c>
      <c r="E68" s="37">
        <v>0</v>
      </c>
      <c r="F68" s="37">
        <v>0</v>
      </c>
    </row>
    <row r="69" spans="1:6">
      <c r="A69" s="31" t="s">
        <v>316</v>
      </c>
      <c r="B69" s="32" t="s">
        <v>49</v>
      </c>
      <c r="C69" s="37">
        <v>0</v>
      </c>
      <c r="D69" s="37">
        <v>0</v>
      </c>
      <c r="E69" s="37">
        <v>0</v>
      </c>
      <c r="F69" s="37">
        <v>0</v>
      </c>
    </row>
    <row r="70" spans="1:6" ht="24">
      <c r="A70" s="43" t="s">
        <v>317</v>
      </c>
      <c r="B70" s="44" t="s">
        <v>318</v>
      </c>
      <c r="C70" s="37">
        <v>0</v>
      </c>
      <c r="D70" s="37">
        <v>0</v>
      </c>
      <c r="E70" s="37">
        <v>0</v>
      </c>
      <c r="F70" s="37">
        <v>0</v>
      </c>
    </row>
    <row r="71" spans="1:6">
      <c r="A71" s="43" t="s">
        <v>319</v>
      </c>
      <c r="B71" s="44" t="s">
        <v>320</v>
      </c>
      <c r="C71" s="37">
        <v>0</v>
      </c>
      <c r="D71" s="37">
        <v>0</v>
      </c>
      <c r="E71" s="37">
        <v>0</v>
      </c>
      <c r="F71" s="37">
        <v>0</v>
      </c>
    </row>
    <row r="72" spans="1:6">
      <c r="A72" s="40" t="s">
        <v>321</v>
      </c>
      <c r="B72" s="41" t="s">
        <v>322</v>
      </c>
      <c r="C72" s="42">
        <f>C73</f>
        <v>49505.02</v>
      </c>
      <c r="D72" s="42">
        <f t="shared" ref="D72:F72" si="16">D73</f>
        <v>38400</v>
      </c>
      <c r="E72" s="42">
        <f t="shared" si="16"/>
        <v>38000</v>
      </c>
      <c r="F72" s="42">
        <f t="shared" si="16"/>
        <v>38000</v>
      </c>
    </row>
    <row r="73" spans="1:6">
      <c r="A73" s="43" t="s">
        <v>323</v>
      </c>
      <c r="B73" s="44" t="s">
        <v>324</v>
      </c>
      <c r="C73" s="37">
        <v>49505.02</v>
      </c>
      <c r="D73" s="37">
        <v>38400</v>
      </c>
      <c r="E73" s="37">
        <v>38000</v>
      </c>
      <c r="F73" s="37">
        <v>38000</v>
      </c>
    </row>
    <row r="74" spans="1:6">
      <c r="A74" s="31" t="s">
        <v>325</v>
      </c>
      <c r="B74" s="63" t="s">
        <v>326</v>
      </c>
      <c r="C74" s="33">
        <v>0</v>
      </c>
      <c r="D74" s="33">
        <v>0</v>
      </c>
      <c r="E74" s="33">
        <v>0</v>
      </c>
      <c r="F74" s="33">
        <v>0</v>
      </c>
    </row>
    <row r="75" spans="1:6" ht="24">
      <c r="A75" s="43" t="s">
        <v>327</v>
      </c>
      <c r="B75" s="44" t="s">
        <v>328</v>
      </c>
      <c r="C75" s="37">
        <v>0</v>
      </c>
      <c r="D75" s="37">
        <v>0</v>
      </c>
      <c r="E75" s="37">
        <v>0</v>
      </c>
      <c r="F75" s="37">
        <v>0</v>
      </c>
    </row>
    <row r="76" spans="1:6">
      <c r="A76" s="31" t="s">
        <v>329</v>
      </c>
      <c r="B76" s="63" t="s">
        <v>49</v>
      </c>
      <c r="C76" s="37">
        <v>0</v>
      </c>
      <c r="D76" s="37">
        <v>0</v>
      </c>
      <c r="E76" s="37">
        <v>0</v>
      </c>
      <c r="F76" s="37">
        <v>0</v>
      </c>
    </row>
    <row r="77" spans="1:6" ht="24">
      <c r="A77" s="43" t="s">
        <v>330</v>
      </c>
      <c r="B77" s="44" t="s">
        <v>318</v>
      </c>
      <c r="C77" s="37">
        <v>0</v>
      </c>
      <c r="D77" s="37">
        <v>0</v>
      </c>
      <c r="E77" s="37">
        <v>0</v>
      </c>
      <c r="F77" s="37">
        <v>0</v>
      </c>
    </row>
    <row r="78" spans="1:6">
      <c r="A78" s="64" t="s">
        <v>331</v>
      </c>
      <c r="B78" s="65" t="s">
        <v>320</v>
      </c>
      <c r="C78" s="37">
        <v>0</v>
      </c>
      <c r="D78" s="37">
        <v>0</v>
      </c>
      <c r="E78" s="37">
        <v>0</v>
      </c>
      <c r="F78" s="37">
        <v>0</v>
      </c>
    </row>
    <row r="79" spans="1:6">
      <c r="A79" s="40" t="s">
        <v>332</v>
      </c>
      <c r="B79" s="41" t="s">
        <v>333</v>
      </c>
      <c r="C79" s="66">
        <f>C59+C60-C72</f>
        <v>1014540.9394946673</v>
      </c>
      <c r="D79" s="66">
        <f t="shared" ref="D79:F79" si="17">D59+D60-D72</f>
        <v>1161400</v>
      </c>
      <c r="E79" s="66">
        <f t="shared" si="17"/>
        <v>640600</v>
      </c>
      <c r="F79" s="66">
        <f t="shared" si="17"/>
        <v>690600</v>
      </c>
    </row>
    <row r="80" spans="1:6">
      <c r="A80" s="40" t="s">
        <v>334</v>
      </c>
      <c r="B80" s="41" t="s">
        <v>335</v>
      </c>
      <c r="C80" s="67">
        <v>4480</v>
      </c>
      <c r="D80" s="67">
        <v>0</v>
      </c>
      <c r="E80" s="67">
        <v>0</v>
      </c>
      <c r="F80" s="67">
        <v>0</v>
      </c>
    </row>
    <row r="81" spans="1:6" ht="24">
      <c r="A81" s="68" t="s">
        <v>336</v>
      </c>
      <c r="B81" s="69" t="s">
        <v>337</v>
      </c>
      <c r="C81" s="70">
        <v>0</v>
      </c>
      <c r="D81" s="70">
        <v>0</v>
      </c>
      <c r="E81" s="70">
        <v>0</v>
      </c>
      <c r="F81" s="70">
        <v>0</v>
      </c>
    </row>
    <row r="82" spans="1:6" ht="15" thickBot="1">
      <c r="A82" s="71" t="s">
        <v>338</v>
      </c>
      <c r="B82" s="72" t="s">
        <v>339</v>
      </c>
      <c r="C82" s="73">
        <f>C79-C80</f>
        <v>1010060.9394946673</v>
      </c>
      <c r="D82" s="73">
        <f t="shared" ref="D82:F82" si="18">D79-D80</f>
        <v>1161400</v>
      </c>
      <c r="E82" s="73">
        <f t="shared" si="18"/>
        <v>640600</v>
      </c>
      <c r="F82" s="73">
        <f t="shared" si="18"/>
        <v>690600</v>
      </c>
    </row>
    <row r="83" spans="1:6">
      <c r="A83" s="87"/>
      <c r="B83" s="87"/>
      <c r="C83" s="30"/>
      <c r="D83" s="30"/>
      <c r="E83" s="30"/>
      <c r="F83" s="1"/>
    </row>
    <row r="84" spans="1:6" ht="15" thickBot="1">
      <c r="A84" s="88"/>
      <c r="B84" s="88"/>
      <c r="C84" s="30"/>
      <c r="D84" s="30"/>
      <c r="E84" s="30"/>
      <c r="F84" s="1"/>
    </row>
    <row r="85" spans="1:6">
      <c r="A85" s="74" t="s">
        <v>340</v>
      </c>
      <c r="B85" s="75" t="s">
        <v>1</v>
      </c>
      <c r="C85" s="76">
        <v>2020</v>
      </c>
      <c r="D85" s="76">
        <v>2021</v>
      </c>
      <c r="E85" s="76">
        <v>2022</v>
      </c>
      <c r="F85" s="172">
        <v>2023</v>
      </c>
    </row>
    <row r="86" spans="1:6">
      <c r="A86" s="77">
        <v>1</v>
      </c>
      <c r="B86" s="78" t="s">
        <v>341</v>
      </c>
      <c r="C86" s="79">
        <f>C3+C46+C60</f>
        <v>61444162.75949467</v>
      </c>
      <c r="D86" s="79">
        <f t="shared" ref="D86:F86" si="19">D3+D46+D60</f>
        <v>67237020</v>
      </c>
      <c r="E86" s="79">
        <f t="shared" si="19"/>
        <v>60233710</v>
      </c>
      <c r="F86" s="80">
        <f t="shared" si="19"/>
        <v>60780600</v>
      </c>
    </row>
    <row r="87" spans="1:6" ht="15" thickBot="1">
      <c r="A87" s="81">
        <v>2</v>
      </c>
      <c r="B87" s="82" t="s">
        <v>342</v>
      </c>
      <c r="C87" s="83">
        <f>C13+C55+C72</f>
        <v>60429621.820000008</v>
      </c>
      <c r="D87" s="83">
        <f t="shared" ref="D87:F87" si="20">D13+D55+D72</f>
        <v>66075620</v>
      </c>
      <c r="E87" s="83">
        <f t="shared" si="20"/>
        <v>59593110</v>
      </c>
      <c r="F87" s="84">
        <f t="shared" si="20"/>
        <v>60090000</v>
      </c>
    </row>
  </sheetData>
  <mergeCells count="2">
    <mergeCell ref="A83:B83"/>
    <mergeCell ref="A84:B84"/>
  </mergeCells>
  <printOptions horizontalCentered="1"/>
  <pageMargins left="0.31496062992125984" right="0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9BFD-E156-46F5-8AA1-56F699072E99}">
  <dimension ref="A1:X166"/>
  <sheetViews>
    <sheetView tabSelected="1" topLeftCell="A137" workbookViewId="0">
      <selection sqref="A1:H166"/>
    </sheetView>
  </sheetViews>
  <sheetFormatPr defaultRowHeight="12"/>
  <cols>
    <col min="1" max="1" width="6.875" style="1" customWidth="1"/>
    <col min="2" max="2" width="31.375" style="85" customWidth="1"/>
    <col min="3" max="4" width="14" style="1" hidden="1" customWidth="1"/>
    <col min="5" max="8" width="11.375" style="1" customWidth="1"/>
    <col min="9" max="9" width="9" style="1"/>
    <col min="10" max="10" width="16.5" style="1" hidden="1" customWidth="1"/>
    <col min="11" max="11" width="9.75" style="1" hidden="1" customWidth="1"/>
    <col min="12" max="17" width="0" style="1" hidden="1" customWidth="1"/>
    <col min="18" max="18" width="20.875" style="1" hidden="1" customWidth="1"/>
    <col min="19" max="19" width="13.375" style="1" hidden="1" customWidth="1"/>
    <col min="20" max="31" width="0" style="1" hidden="1" customWidth="1"/>
    <col min="32" max="16384" width="9" style="1"/>
  </cols>
  <sheetData>
    <row r="1" spans="1:24" ht="15.75" customHeight="1" thickBot="1">
      <c r="A1" s="86"/>
      <c r="B1" s="89" t="s">
        <v>343</v>
      </c>
      <c r="C1" s="86" t="s">
        <v>212</v>
      </c>
      <c r="D1" s="86"/>
      <c r="E1" s="86"/>
      <c r="F1" s="86"/>
      <c r="G1" s="90"/>
      <c r="I1" s="4"/>
      <c r="J1" s="4"/>
      <c r="K1" s="4"/>
      <c r="L1" s="4"/>
      <c r="M1" s="4"/>
      <c r="N1" s="4"/>
      <c r="O1" s="4"/>
      <c r="P1" s="4"/>
    </row>
    <row r="2" spans="1:24" ht="16.5" customHeight="1" thickBot="1">
      <c r="A2" s="91" t="s">
        <v>0</v>
      </c>
      <c r="B2" s="92" t="s">
        <v>1</v>
      </c>
      <c r="C2" s="93">
        <v>2015</v>
      </c>
      <c r="D2" s="93">
        <v>2016</v>
      </c>
      <c r="E2" s="94">
        <v>2020</v>
      </c>
      <c r="F2" s="95">
        <v>2021</v>
      </c>
      <c r="G2" s="95">
        <v>2022</v>
      </c>
      <c r="H2" s="162">
        <v>2023</v>
      </c>
      <c r="I2" s="18"/>
      <c r="J2" s="18"/>
      <c r="K2" s="18">
        <v>2019</v>
      </c>
      <c r="L2" s="18">
        <v>2020</v>
      </c>
      <c r="M2" s="18">
        <v>2021</v>
      </c>
      <c r="N2" s="18">
        <v>2022</v>
      </c>
      <c r="O2" s="18"/>
      <c r="P2" s="18"/>
    </row>
    <row r="3" spans="1:24" ht="17.25" customHeight="1">
      <c r="A3" s="96">
        <v>1</v>
      </c>
      <c r="B3" s="97">
        <v>2</v>
      </c>
      <c r="C3" s="98">
        <v>3</v>
      </c>
      <c r="D3" s="98">
        <v>4</v>
      </c>
      <c r="E3" s="99">
        <v>5</v>
      </c>
      <c r="F3" s="99">
        <v>6</v>
      </c>
      <c r="G3" s="98">
        <v>7</v>
      </c>
      <c r="H3" s="100">
        <v>8</v>
      </c>
      <c r="I3" s="18"/>
      <c r="J3" s="18"/>
      <c r="K3" s="18"/>
      <c r="L3" s="18"/>
      <c r="M3" s="18"/>
      <c r="N3" s="18"/>
      <c r="O3" s="18"/>
      <c r="P3" s="18"/>
      <c r="R3" s="22">
        <f>F3*100/E3</f>
        <v>120</v>
      </c>
      <c r="S3" s="22">
        <f>G3*100/F3</f>
        <v>116.66666666666667</v>
      </c>
      <c r="T3" s="22">
        <f>H3*100/G3</f>
        <v>114.28571428571429</v>
      </c>
      <c r="U3" s="22">
        <f>I3*100/H3</f>
        <v>0</v>
      </c>
      <c r="V3" s="22" t="e">
        <f t="shared" ref="V3" si="0">Q3*100/I3</f>
        <v>#DIV/0!</v>
      </c>
    </row>
    <row r="4" spans="1:24" ht="12.75" customHeight="1">
      <c r="A4" s="101" t="s">
        <v>2</v>
      </c>
      <c r="B4" s="102"/>
      <c r="C4" s="102"/>
      <c r="D4" s="102"/>
      <c r="E4" s="102"/>
      <c r="F4" s="102"/>
      <c r="G4" s="102"/>
      <c r="H4" s="103"/>
      <c r="I4" s="26"/>
      <c r="J4" s="26"/>
      <c r="K4" s="26"/>
      <c r="L4" s="26"/>
      <c r="M4" s="26"/>
      <c r="N4" s="26"/>
      <c r="O4" s="26"/>
      <c r="P4" s="26"/>
    </row>
    <row r="5" spans="1:24" ht="12.75" customHeight="1">
      <c r="A5" s="104" t="s">
        <v>3</v>
      </c>
      <c r="B5" s="105" t="s">
        <v>4</v>
      </c>
      <c r="C5" s="106">
        <v>23595890</v>
      </c>
      <c r="D5" s="106">
        <f>D11+D6</f>
        <v>23670244</v>
      </c>
      <c r="E5" s="106">
        <f t="shared" ref="E5:H5" si="1">E11+E6</f>
        <v>33215579.059999999</v>
      </c>
      <c r="F5" s="106">
        <f t="shared" si="1"/>
        <v>33652412</v>
      </c>
      <c r="G5" s="106">
        <f t="shared" si="1"/>
        <v>33719532</v>
      </c>
      <c r="H5" s="107">
        <f t="shared" si="1"/>
        <v>33550132</v>
      </c>
      <c r="I5" s="18"/>
      <c r="J5" s="18" t="s">
        <v>221</v>
      </c>
      <c r="K5" s="30">
        <f>E3+E46+E60</f>
        <v>5</v>
      </c>
      <c r="L5" s="30">
        <f t="shared" ref="L5:N5" si="2">F3+F46+F60</f>
        <v>6</v>
      </c>
      <c r="M5" s="30">
        <f t="shared" si="2"/>
        <v>7</v>
      </c>
      <c r="N5" s="30">
        <f t="shared" si="2"/>
        <v>8</v>
      </c>
      <c r="O5" s="18"/>
      <c r="P5" s="18"/>
      <c r="R5" s="14"/>
      <c r="S5" s="14"/>
      <c r="T5" s="14"/>
      <c r="U5" s="14"/>
      <c r="V5" s="14"/>
      <c r="W5" s="14"/>
      <c r="X5" s="14"/>
    </row>
    <row r="6" spans="1:24" ht="12.75" customHeight="1">
      <c r="A6" s="108" t="s">
        <v>5</v>
      </c>
      <c r="B6" s="109" t="s">
        <v>6</v>
      </c>
      <c r="C6" s="110">
        <v>195858</v>
      </c>
      <c r="D6" s="110">
        <f>D9</f>
        <v>27060</v>
      </c>
      <c r="E6" s="110">
        <f t="shared" ref="E6:H6" si="3">E9</f>
        <v>51883.65</v>
      </c>
      <c r="F6" s="110">
        <f t="shared" si="3"/>
        <v>400000</v>
      </c>
      <c r="G6" s="110">
        <f t="shared" si="3"/>
        <v>300000</v>
      </c>
      <c r="H6" s="111">
        <f t="shared" si="3"/>
        <v>150000</v>
      </c>
      <c r="I6" s="30"/>
      <c r="J6" s="30"/>
      <c r="K6" s="34">
        <f>E82*100/K5</f>
        <v>0</v>
      </c>
      <c r="L6" s="34">
        <f>F82*100/L5</f>
        <v>0</v>
      </c>
      <c r="M6" s="34">
        <f t="shared" ref="M6:N6" si="4">G82*100/M5</f>
        <v>0</v>
      </c>
      <c r="N6" s="34">
        <f t="shared" si="4"/>
        <v>0</v>
      </c>
      <c r="O6" s="30"/>
      <c r="P6" s="30"/>
      <c r="R6" s="1">
        <f>F6*100/E6</f>
        <v>770.95578279477252</v>
      </c>
    </row>
    <row r="7" spans="1:24" ht="12.75" customHeight="1">
      <c r="A7" s="112" t="s">
        <v>7</v>
      </c>
      <c r="B7" s="113" t="s">
        <v>8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8">
        <v>0</v>
      </c>
      <c r="I7" s="18"/>
      <c r="J7" s="18"/>
      <c r="K7" s="18"/>
      <c r="L7" s="18"/>
      <c r="M7" s="18"/>
      <c r="N7" s="18"/>
      <c r="O7" s="18"/>
      <c r="P7" s="18"/>
    </row>
    <row r="8" spans="1:24" ht="12.75" customHeight="1">
      <c r="A8" s="112" t="s">
        <v>9</v>
      </c>
      <c r="B8" s="113" t="s">
        <v>10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8">
        <v>0</v>
      </c>
      <c r="I8" s="18"/>
      <c r="J8" s="18" t="s">
        <v>225</v>
      </c>
      <c r="K8" s="30">
        <f>E3+E46</f>
        <v>5</v>
      </c>
      <c r="L8" s="30">
        <f t="shared" ref="L8:N8" si="5">F3+F46</f>
        <v>6</v>
      </c>
      <c r="M8" s="30">
        <f t="shared" si="5"/>
        <v>7</v>
      </c>
      <c r="N8" s="30">
        <f t="shared" si="5"/>
        <v>8</v>
      </c>
      <c r="O8" s="18"/>
      <c r="P8" s="18"/>
    </row>
    <row r="9" spans="1:24" ht="12.75" customHeight="1">
      <c r="A9" s="112" t="s">
        <v>11</v>
      </c>
      <c r="B9" s="113" t="s">
        <v>12</v>
      </c>
      <c r="C9" s="2">
        <v>195858</v>
      </c>
      <c r="D9" s="2">
        <v>27060</v>
      </c>
      <c r="E9" s="2">
        <v>51883.65</v>
      </c>
      <c r="F9" s="2">
        <v>400000</v>
      </c>
      <c r="G9" s="2">
        <v>300000</v>
      </c>
      <c r="H9" s="8">
        <v>150000</v>
      </c>
      <c r="I9" s="18"/>
      <c r="J9" s="18" t="s">
        <v>227</v>
      </c>
      <c r="K9" s="34">
        <f>E59*100/K8</f>
        <v>0</v>
      </c>
      <c r="L9" s="34">
        <f t="shared" ref="L9:N9" si="6">F59*100/L8</f>
        <v>0</v>
      </c>
      <c r="M9" s="34">
        <f t="shared" si="6"/>
        <v>0</v>
      </c>
      <c r="N9" s="34">
        <f t="shared" si="6"/>
        <v>0</v>
      </c>
      <c r="O9" s="18"/>
      <c r="P9" s="18"/>
      <c r="R9" s="14">
        <f>E6+E9</f>
        <v>103767.3</v>
      </c>
      <c r="S9" s="14">
        <f>F6+F9</f>
        <v>800000</v>
      </c>
      <c r="T9" s="1">
        <f>S9*100/R9</f>
        <v>770.95578279477252</v>
      </c>
    </row>
    <row r="10" spans="1:24" ht="12.75" customHeight="1">
      <c r="A10" s="112" t="s">
        <v>13</v>
      </c>
      <c r="B10" s="113" t="s">
        <v>14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8">
        <v>0</v>
      </c>
      <c r="I10" s="38"/>
      <c r="J10" s="38"/>
      <c r="K10" s="39"/>
      <c r="L10" s="39"/>
      <c r="M10" s="39"/>
      <c r="N10" s="39"/>
      <c r="O10" s="38"/>
      <c r="P10" s="38"/>
      <c r="R10" s="1">
        <f>G6*100/F6</f>
        <v>75</v>
      </c>
      <c r="S10" s="1">
        <f>H6*100/G6</f>
        <v>50</v>
      </c>
      <c r="T10" s="1">
        <f>I6*100/H6</f>
        <v>0</v>
      </c>
    </row>
    <row r="11" spans="1:24" ht="12.75" customHeight="1">
      <c r="A11" s="108" t="s">
        <v>15</v>
      </c>
      <c r="B11" s="109" t="s">
        <v>16</v>
      </c>
      <c r="C11" s="114">
        <v>23400032</v>
      </c>
      <c r="D11" s="114">
        <f>D12+D18</f>
        <v>23643184</v>
      </c>
      <c r="E11" s="114">
        <f t="shared" ref="E11:H11" si="7">E12+E18</f>
        <v>33163695.41</v>
      </c>
      <c r="F11" s="114">
        <f t="shared" si="7"/>
        <v>33252412</v>
      </c>
      <c r="G11" s="114">
        <f t="shared" si="7"/>
        <v>33419532</v>
      </c>
      <c r="H11" s="111">
        <f t="shared" si="7"/>
        <v>33400132</v>
      </c>
      <c r="I11" s="18"/>
      <c r="J11" s="18"/>
      <c r="K11" s="18"/>
      <c r="L11" s="18"/>
      <c r="M11" s="18"/>
      <c r="N11" s="18"/>
      <c r="O11" s="18"/>
      <c r="P11" s="18"/>
    </row>
    <row r="12" spans="1:24" ht="12.75" customHeight="1">
      <c r="A12" s="112" t="s">
        <v>17</v>
      </c>
      <c r="B12" s="113" t="s">
        <v>18</v>
      </c>
      <c r="C12" s="115">
        <v>22401969</v>
      </c>
      <c r="D12" s="115">
        <f>SUM(D13:D17)</f>
        <v>21925191</v>
      </c>
      <c r="E12" s="115">
        <f>SUM(E13:E17)</f>
        <v>32454980.640000001</v>
      </c>
      <c r="F12" s="115">
        <f t="shared" ref="F12:H12" si="8">SUM(F13:F17)</f>
        <v>32652412</v>
      </c>
      <c r="G12" s="115">
        <f t="shared" si="8"/>
        <v>32619532</v>
      </c>
      <c r="H12" s="116">
        <f t="shared" si="8"/>
        <v>32480132</v>
      </c>
      <c r="I12" s="18"/>
      <c r="J12" s="18"/>
      <c r="K12" s="18"/>
      <c r="L12" s="18"/>
      <c r="M12" s="18"/>
      <c r="N12" s="18"/>
      <c r="O12" s="18"/>
      <c r="P12" s="18"/>
    </row>
    <row r="13" spans="1:24" ht="12.75" customHeight="1">
      <c r="A13" s="112" t="s">
        <v>19</v>
      </c>
      <c r="B13" s="113" t="s">
        <v>20</v>
      </c>
      <c r="C13" s="2">
        <v>4498334</v>
      </c>
      <c r="D13" s="2">
        <v>4649406</v>
      </c>
      <c r="E13" s="2">
        <v>4552674</v>
      </c>
      <c r="F13" s="2">
        <v>4552674</v>
      </c>
      <c r="G13" s="2">
        <v>4552674</v>
      </c>
      <c r="H13" s="8">
        <v>4552674</v>
      </c>
      <c r="I13" s="18"/>
      <c r="J13" s="18"/>
      <c r="K13" s="18"/>
      <c r="L13" s="18"/>
      <c r="M13" s="18"/>
      <c r="N13" s="18"/>
      <c r="O13" s="18"/>
      <c r="P13" s="18"/>
    </row>
    <row r="14" spans="1:24" ht="12.75" customHeight="1">
      <c r="A14" s="112" t="s">
        <v>21</v>
      </c>
      <c r="B14" s="117" t="s">
        <v>22</v>
      </c>
      <c r="C14" s="2">
        <v>15557358</v>
      </c>
      <c r="D14" s="2">
        <v>14871462</v>
      </c>
      <c r="E14" s="2">
        <v>20735981.289999999</v>
      </c>
      <c r="F14" s="2">
        <f>21994604+100000-1000000+7461</f>
        <v>21102065</v>
      </c>
      <c r="G14" s="2">
        <f>20626000+71000+307+400000+14231</f>
        <v>21111538</v>
      </c>
      <c r="H14" s="8">
        <f>19609627+560000+900000-2480+311</f>
        <v>21067458</v>
      </c>
      <c r="I14" s="18"/>
      <c r="J14" s="18"/>
      <c r="K14" s="18"/>
      <c r="L14" s="18"/>
      <c r="M14" s="18"/>
      <c r="N14" s="18"/>
      <c r="O14" s="18"/>
      <c r="P14" s="18"/>
      <c r="R14" s="1">
        <f>G3*100/F3</f>
        <v>116.66666666666667</v>
      </c>
      <c r="S14" s="1">
        <f>H3*100/G3</f>
        <v>114.28571428571429</v>
      </c>
    </row>
    <row r="15" spans="1:24" ht="12.75" customHeight="1">
      <c r="A15" s="112" t="s">
        <v>23</v>
      </c>
      <c r="B15" s="113" t="s">
        <v>24</v>
      </c>
      <c r="C15" s="2">
        <v>503464</v>
      </c>
      <c r="D15" s="2">
        <v>642191</v>
      </c>
      <c r="E15" s="2">
        <v>510179.12</v>
      </c>
      <c r="F15" s="2">
        <f>1018820-500000</f>
        <v>518820</v>
      </c>
      <c r="G15" s="2">
        <f>305320+210000</f>
        <v>515320</v>
      </c>
      <c r="H15" s="8">
        <v>510000</v>
      </c>
      <c r="I15" s="18"/>
      <c r="J15" s="18"/>
      <c r="K15" s="18"/>
      <c r="L15" s="18"/>
      <c r="M15" s="18"/>
      <c r="N15" s="18"/>
      <c r="O15" s="18"/>
      <c r="P15" s="18"/>
      <c r="R15" s="14"/>
    </row>
    <row r="16" spans="1:24" ht="12.75" customHeight="1">
      <c r="A16" s="112" t="s">
        <v>25</v>
      </c>
      <c r="B16" s="113" t="s">
        <v>26</v>
      </c>
      <c r="C16" s="2">
        <v>633076</v>
      </c>
      <c r="D16" s="2">
        <v>897520</v>
      </c>
      <c r="E16" s="2">
        <v>906208.99</v>
      </c>
      <c r="F16" s="2">
        <f>1207132+3111</f>
        <v>1210243</v>
      </c>
      <c r="G16" s="2">
        <v>1150000</v>
      </c>
      <c r="H16" s="8">
        <v>1100000</v>
      </c>
    </row>
    <row r="17" spans="1:20" ht="12.75" customHeight="1">
      <c r="A17" s="112" t="s">
        <v>27</v>
      </c>
      <c r="B17" s="113" t="s">
        <v>28</v>
      </c>
      <c r="C17" s="2">
        <v>1209737</v>
      </c>
      <c r="D17" s="2">
        <v>864612</v>
      </c>
      <c r="E17" s="2">
        <v>5749937.2400000002</v>
      </c>
      <c r="F17" s="2">
        <f>1068610+500000+300000+2200000+1200000</f>
        <v>5268610</v>
      </c>
      <c r="G17" s="2">
        <f>1680000+2200000-600000+1500000-40000+600000-50000</f>
        <v>5290000</v>
      </c>
      <c r="H17" s="8">
        <f>4200000+1050000</f>
        <v>5250000</v>
      </c>
      <c r="R17" s="14"/>
    </row>
    <row r="18" spans="1:20" ht="12.75" customHeight="1">
      <c r="A18" s="112" t="s">
        <v>29</v>
      </c>
      <c r="B18" s="113" t="s">
        <v>30</v>
      </c>
      <c r="C18" s="2">
        <v>998063</v>
      </c>
      <c r="D18" s="2">
        <v>1717993</v>
      </c>
      <c r="E18" s="2">
        <v>708714.77</v>
      </c>
      <c r="F18" s="2">
        <v>600000</v>
      </c>
      <c r="G18" s="2">
        <v>800000</v>
      </c>
      <c r="H18" s="8">
        <v>920000</v>
      </c>
      <c r="R18" s="14">
        <f>E6+E9</f>
        <v>103767.3</v>
      </c>
      <c r="S18" s="14">
        <f>F6+F9</f>
        <v>800000</v>
      </c>
      <c r="T18" s="14">
        <f>S18-R18</f>
        <v>696232.7</v>
      </c>
    </row>
    <row r="19" spans="1:20" ht="12.75" customHeight="1">
      <c r="A19" s="112" t="s">
        <v>31</v>
      </c>
      <c r="B19" s="113" t="s">
        <v>32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8">
        <v>0</v>
      </c>
    </row>
    <row r="20" spans="1:20" ht="12.75" customHeight="1">
      <c r="A20" s="108" t="s">
        <v>33</v>
      </c>
      <c r="B20" s="109" t="s">
        <v>34</v>
      </c>
      <c r="C20" s="110">
        <v>0</v>
      </c>
      <c r="D20" s="110">
        <v>0</v>
      </c>
      <c r="E20" s="110">
        <v>0</v>
      </c>
      <c r="F20" s="110">
        <v>0</v>
      </c>
      <c r="G20" s="110">
        <v>0</v>
      </c>
      <c r="H20" s="111">
        <v>0</v>
      </c>
      <c r="R20" s="14"/>
    </row>
    <row r="21" spans="1:20" ht="12.75" customHeight="1">
      <c r="A21" s="118" t="s">
        <v>35</v>
      </c>
      <c r="B21" s="113" t="s">
        <v>36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8">
        <v>0</v>
      </c>
    </row>
    <row r="22" spans="1:20" ht="12.75" customHeight="1">
      <c r="A22" s="118" t="s">
        <v>37</v>
      </c>
      <c r="B22" s="119" t="s">
        <v>38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8">
        <v>0</v>
      </c>
    </row>
    <row r="23" spans="1:20" ht="12.75" customHeight="1">
      <c r="A23" s="118" t="s">
        <v>39</v>
      </c>
      <c r="B23" s="113" t="s">
        <v>40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8">
        <v>0</v>
      </c>
    </row>
    <row r="24" spans="1:20" ht="12.75" customHeight="1">
      <c r="A24" s="108" t="s">
        <v>41</v>
      </c>
      <c r="B24" s="109" t="s">
        <v>42</v>
      </c>
      <c r="C24" s="110">
        <v>0</v>
      </c>
      <c r="D24" s="110">
        <v>0</v>
      </c>
      <c r="E24" s="110">
        <v>0</v>
      </c>
      <c r="F24" s="110">
        <v>0</v>
      </c>
      <c r="G24" s="110">
        <v>0</v>
      </c>
      <c r="H24" s="111">
        <v>0</v>
      </c>
    </row>
    <row r="25" spans="1:20" ht="12.75" customHeight="1">
      <c r="A25" s="112" t="s">
        <v>43</v>
      </c>
      <c r="B25" s="113" t="s">
        <v>44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8">
        <v>0</v>
      </c>
      <c r="R25" s="14">
        <f>F27-17434100</f>
        <v>-17434100</v>
      </c>
    </row>
    <row r="26" spans="1:20" ht="12.75" customHeight="1">
      <c r="A26" s="112" t="s">
        <v>45</v>
      </c>
      <c r="B26" s="113" t="s">
        <v>6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8">
        <v>0</v>
      </c>
      <c r="N26" s="1">
        <f>K5*0.0662%</f>
        <v>3.3099999999999996E-3</v>
      </c>
    </row>
    <row r="27" spans="1:20" ht="12.75" customHeight="1">
      <c r="A27" s="112" t="s">
        <v>46</v>
      </c>
      <c r="B27" s="113" t="s">
        <v>47</v>
      </c>
      <c r="C27" s="115">
        <v>0</v>
      </c>
      <c r="D27" s="115">
        <v>0</v>
      </c>
      <c r="E27" s="115">
        <v>0</v>
      </c>
      <c r="F27" s="115">
        <v>0</v>
      </c>
      <c r="G27" s="115">
        <v>0</v>
      </c>
      <c r="H27" s="116">
        <v>0</v>
      </c>
      <c r="R27" s="14"/>
    </row>
    <row r="28" spans="1:20" ht="12.75" customHeight="1">
      <c r="A28" s="112" t="s">
        <v>48</v>
      </c>
      <c r="B28" s="113" t="s">
        <v>49</v>
      </c>
      <c r="C28" s="115">
        <v>0</v>
      </c>
      <c r="D28" s="115">
        <v>0</v>
      </c>
      <c r="E28" s="115">
        <v>0</v>
      </c>
      <c r="F28" s="115">
        <v>0</v>
      </c>
      <c r="G28" s="115">
        <v>0</v>
      </c>
      <c r="H28" s="116">
        <v>0</v>
      </c>
    </row>
    <row r="29" spans="1:20" ht="12.75" customHeight="1">
      <c r="A29" s="112" t="s">
        <v>50</v>
      </c>
      <c r="B29" s="113" t="s">
        <v>51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8">
        <v>0</v>
      </c>
    </row>
    <row r="30" spans="1:20" ht="12.75" customHeight="1">
      <c r="A30" s="112" t="s">
        <v>50</v>
      </c>
      <c r="B30" s="113" t="s">
        <v>52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8">
        <v>0</v>
      </c>
    </row>
    <row r="31" spans="1:20" ht="12.75" customHeight="1">
      <c r="A31" s="112" t="s">
        <v>50</v>
      </c>
      <c r="B31" s="113" t="s">
        <v>53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8">
        <v>0</v>
      </c>
    </row>
    <row r="32" spans="1:20" ht="12.75" customHeight="1">
      <c r="A32" s="112" t="s">
        <v>50</v>
      </c>
      <c r="B32" s="113" t="s">
        <v>54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8">
        <v>0</v>
      </c>
    </row>
    <row r="33" spans="1:23" ht="12.75" customHeight="1">
      <c r="A33" s="112" t="s">
        <v>55</v>
      </c>
      <c r="B33" s="119" t="s">
        <v>56</v>
      </c>
      <c r="C33" s="115">
        <v>0</v>
      </c>
      <c r="D33" s="115">
        <v>0</v>
      </c>
      <c r="E33" s="115">
        <v>0</v>
      </c>
      <c r="F33" s="115">
        <v>0</v>
      </c>
      <c r="G33" s="115">
        <v>0</v>
      </c>
      <c r="H33" s="116">
        <v>0</v>
      </c>
    </row>
    <row r="34" spans="1:23" ht="15.75" customHeight="1">
      <c r="A34" s="112" t="s">
        <v>57</v>
      </c>
      <c r="B34" s="113" t="s">
        <v>51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8">
        <v>0</v>
      </c>
      <c r="R34" s="14" t="e">
        <f>F34*100/E34</f>
        <v>#DIV/0!</v>
      </c>
      <c r="S34" s="14" t="e">
        <f>G34*100/F34</f>
        <v>#DIV/0!</v>
      </c>
      <c r="T34" s="14" t="e">
        <f>H34*100/G34</f>
        <v>#DIV/0!</v>
      </c>
      <c r="U34" s="14" t="e">
        <f>I34*100/H34</f>
        <v>#DIV/0!</v>
      </c>
      <c r="V34" s="14" t="e">
        <f t="shared" ref="V34" si="9">Q34*100/I34</f>
        <v>#DIV/0!</v>
      </c>
    </row>
    <row r="35" spans="1:23" ht="13.5" customHeight="1">
      <c r="A35" s="112" t="s">
        <v>57</v>
      </c>
      <c r="B35" s="113" t="s">
        <v>52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8">
        <v>0</v>
      </c>
      <c r="W35" s="1" t="e">
        <f>F38*100/F34</f>
        <v>#DIV/0!</v>
      </c>
    </row>
    <row r="36" spans="1:23" ht="13.5" customHeight="1">
      <c r="A36" s="112" t="s">
        <v>57</v>
      </c>
      <c r="B36" s="113" t="s">
        <v>53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8">
        <v>0</v>
      </c>
    </row>
    <row r="37" spans="1:23" ht="13.5" customHeight="1">
      <c r="A37" s="112" t="s">
        <v>57</v>
      </c>
      <c r="B37" s="113" t="s">
        <v>54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8">
        <v>0</v>
      </c>
      <c r="W37" s="1">
        <f>G34*17.5</f>
        <v>0</v>
      </c>
    </row>
    <row r="38" spans="1:23" ht="23.25" customHeight="1">
      <c r="A38" s="112" t="s">
        <v>58</v>
      </c>
      <c r="B38" s="120" t="s">
        <v>59</v>
      </c>
      <c r="C38" s="115">
        <v>0</v>
      </c>
      <c r="D38" s="115">
        <v>0</v>
      </c>
      <c r="E38" s="115">
        <v>0</v>
      </c>
      <c r="F38" s="115">
        <v>0</v>
      </c>
      <c r="G38" s="115">
        <v>0</v>
      </c>
      <c r="H38" s="116">
        <v>0</v>
      </c>
      <c r="R38" s="14">
        <f>H34*17</f>
        <v>0</v>
      </c>
      <c r="W38" s="1">
        <f>H34*17.5</f>
        <v>0</v>
      </c>
    </row>
    <row r="39" spans="1:23" ht="12" customHeight="1">
      <c r="A39" s="112" t="s">
        <v>60</v>
      </c>
      <c r="B39" s="113" t="s">
        <v>51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8">
        <v>0</v>
      </c>
      <c r="R39" s="14"/>
    </row>
    <row r="40" spans="1:23" ht="11.25" customHeight="1">
      <c r="A40" s="112" t="s">
        <v>60</v>
      </c>
      <c r="B40" s="113" t="s">
        <v>52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8">
        <v>0</v>
      </c>
    </row>
    <row r="41" spans="1:23" ht="22.5" customHeight="1">
      <c r="A41" s="112" t="s">
        <v>60</v>
      </c>
      <c r="B41" s="113" t="s">
        <v>53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8">
        <v>0</v>
      </c>
      <c r="R41" s="1">
        <f>G34*17</f>
        <v>0</v>
      </c>
    </row>
    <row r="42" spans="1:23" ht="15.75" customHeight="1">
      <c r="A42" s="112" t="s">
        <v>60</v>
      </c>
      <c r="B42" s="113" t="s">
        <v>54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8">
        <v>0</v>
      </c>
      <c r="R42" s="14"/>
    </row>
    <row r="43" spans="1:23" ht="15.75" customHeight="1">
      <c r="A43" s="112" t="s">
        <v>61</v>
      </c>
      <c r="B43" s="113" t="s">
        <v>62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8">
        <v>0</v>
      </c>
      <c r="R43" s="1">
        <f>H34*17</f>
        <v>0</v>
      </c>
    </row>
    <row r="44" spans="1:23" ht="24" customHeight="1">
      <c r="A44" s="108" t="s">
        <v>63</v>
      </c>
      <c r="B44" s="121" t="s">
        <v>64</v>
      </c>
      <c r="C44" s="110">
        <v>0</v>
      </c>
      <c r="D44" s="110">
        <v>0</v>
      </c>
      <c r="E44" s="110">
        <v>0</v>
      </c>
      <c r="F44" s="110">
        <v>0</v>
      </c>
      <c r="G44" s="110">
        <v>0</v>
      </c>
      <c r="H44" s="111">
        <v>0</v>
      </c>
    </row>
    <row r="45" spans="1:23" ht="15.75" customHeight="1">
      <c r="A45" s="112" t="s">
        <v>65</v>
      </c>
      <c r="B45" s="117" t="s">
        <v>66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8">
        <v>0</v>
      </c>
    </row>
    <row r="46" spans="1:23" ht="15.75" customHeight="1">
      <c r="A46" s="112" t="s">
        <v>67</v>
      </c>
      <c r="B46" s="117" t="s">
        <v>68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8">
        <v>0</v>
      </c>
    </row>
    <row r="47" spans="1:23" ht="24" customHeight="1">
      <c r="A47" s="104" t="s">
        <v>69</v>
      </c>
      <c r="B47" s="105" t="s">
        <v>70</v>
      </c>
      <c r="C47" s="106">
        <v>3577150</v>
      </c>
      <c r="D47" s="106">
        <f>D48+D54+D72</f>
        <v>4142037</v>
      </c>
      <c r="E47" s="106">
        <f>E48+E54+E72+E89</f>
        <v>12233369.379999999</v>
      </c>
      <c r="F47" s="106">
        <f t="shared" ref="F47:H47" si="10">F48+F54+F72</f>
        <v>10708000</v>
      </c>
      <c r="G47" s="106">
        <f t="shared" si="10"/>
        <v>9808000</v>
      </c>
      <c r="H47" s="107">
        <f t="shared" si="10"/>
        <v>10108000</v>
      </c>
      <c r="R47" s="1" t="e">
        <f>F34*100/E34</f>
        <v>#DIV/0!</v>
      </c>
    </row>
    <row r="48" spans="1:23" ht="15.75" customHeight="1">
      <c r="A48" s="108" t="s">
        <v>71</v>
      </c>
      <c r="B48" s="109" t="s">
        <v>72</v>
      </c>
      <c r="C48" s="110">
        <v>485843</v>
      </c>
      <c r="D48" s="110">
        <f>D49</f>
        <v>522464</v>
      </c>
      <c r="E48" s="110">
        <f t="shared" ref="E48:H48" si="11">E49</f>
        <v>1730167.23</v>
      </c>
      <c r="F48" s="110">
        <f t="shared" si="11"/>
        <v>1400000</v>
      </c>
      <c r="G48" s="110">
        <f t="shared" si="11"/>
        <v>1200000</v>
      </c>
      <c r="H48" s="111">
        <f t="shared" si="11"/>
        <v>1200000</v>
      </c>
      <c r="I48" s="18"/>
      <c r="J48" s="18"/>
      <c r="K48" s="18"/>
      <c r="L48" s="18"/>
      <c r="M48" s="18"/>
      <c r="N48" s="18"/>
      <c r="O48" s="18"/>
      <c r="P48" s="18"/>
    </row>
    <row r="49" spans="1:18" ht="15.75" customHeight="1">
      <c r="A49" s="112" t="s">
        <v>73</v>
      </c>
      <c r="B49" s="113" t="s">
        <v>74</v>
      </c>
      <c r="C49" s="2">
        <v>485843</v>
      </c>
      <c r="D49" s="2">
        <v>522464</v>
      </c>
      <c r="E49" s="2">
        <v>1730167.23</v>
      </c>
      <c r="F49" s="2">
        <v>1400000</v>
      </c>
      <c r="G49" s="2">
        <v>1200000</v>
      </c>
      <c r="H49" s="8">
        <v>1200000</v>
      </c>
      <c r="I49" s="18"/>
      <c r="J49" s="18"/>
      <c r="K49" s="18"/>
      <c r="L49" s="18"/>
      <c r="M49" s="18"/>
      <c r="N49" s="18"/>
      <c r="O49" s="18"/>
      <c r="P49" s="18"/>
      <c r="R49" s="14"/>
    </row>
    <row r="50" spans="1:18" ht="20.25" customHeight="1">
      <c r="A50" s="112" t="s">
        <v>75</v>
      </c>
      <c r="B50" s="113" t="s">
        <v>76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8">
        <v>0</v>
      </c>
      <c r="I50" s="18"/>
      <c r="J50" s="18"/>
      <c r="K50" s="18"/>
      <c r="L50" s="18"/>
      <c r="M50" s="18"/>
      <c r="N50" s="18"/>
      <c r="O50" s="18"/>
      <c r="P50" s="18"/>
    </row>
    <row r="51" spans="1:18" ht="15.75" customHeight="1">
      <c r="A51" s="112" t="s">
        <v>77</v>
      </c>
      <c r="B51" s="113" t="s">
        <v>78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8">
        <v>0</v>
      </c>
      <c r="I51" s="18"/>
      <c r="J51" s="18"/>
      <c r="K51" s="18"/>
      <c r="L51" s="18"/>
      <c r="M51" s="18"/>
      <c r="N51" s="18"/>
      <c r="O51" s="18"/>
      <c r="P51" s="18"/>
    </row>
    <row r="52" spans="1:18" ht="15.75" customHeight="1">
      <c r="A52" s="112" t="s">
        <v>79</v>
      </c>
      <c r="B52" s="113" t="s">
        <v>80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8">
        <v>0</v>
      </c>
      <c r="I52" s="18"/>
      <c r="J52" s="18"/>
      <c r="K52" s="18"/>
      <c r="L52" s="18"/>
      <c r="M52" s="18"/>
      <c r="N52" s="18"/>
      <c r="O52" s="18"/>
      <c r="P52" s="18"/>
    </row>
    <row r="53" spans="1:18" ht="18" customHeight="1">
      <c r="A53" s="112" t="s">
        <v>81</v>
      </c>
      <c r="B53" s="113" t="s">
        <v>82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8">
        <v>0</v>
      </c>
      <c r="I53" s="18"/>
      <c r="J53" s="18"/>
      <c r="K53" s="18"/>
      <c r="L53" s="18"/>
      <c r="M53" s="18"/>
      <c r="N53" s="18"/>
      <c r="O53" s="18"/>
      <c r="P53" s="18"/>
    </row>
    <row r="54" spans="1:18" ht="24" customHeight="1">
      <c r="A54" s="108" t="s">
        <v>83</v>
      </c>
      <c r="B54" s="109" t="s">
        <v>84</v>
      </c>
      <c r="C54" s="110">
        <v>2680016</v>
      </c>
      <c r="D54" s="110">
        <f>D65</f>
        <v>3087170</v>
      </c>
      <c r="E54" s="110">
        <f>E65</f>
        <v>6596764.2999999998</v>
      </c>
      <c r="F54" s="110">
        <f t="shared" ref="F54:H54" si="12">F65</f>
        <v>5308000</v>
      </c>
      <c r="G54" s="110">
        <f t="shared" si="12"/>
        <v>5608000</v>
      </c>
      <c r="H54" s="111">
        <f t="shared" si="12"/>
        <v>5908000</v>
      </c>
      <c r="I54" s="18"/>
      <c r="J54" s="18"/>
      <c r="K54" s="18"/>
      <c r="L54" s="18"/>
      <c r="M54" s="18"/>
      <c r="N54" s="18"/>
      <c r="O54" s="18"/>
      <c r="P54" s="18"/>
    </row>
    <row r="55" spans="1:18" ht="15.75" customHeight="1" thickBot="1">
      <c r="A55" s="160" t="s">
        <v>85</v>
      </c>
      <c r="B55" s="163" t="s">
        <v>86</v>
      </c>
      <c r="C55" s="164">
        <v>0</v>
      </c>
      <c r="D55" s="164">
        <v>0</v>
      </c>
      <c r="E55" s="164">
        <v>0</v>
      </c>
      <c r="F55" s="164">
        <v>0</v>
      </c>
      <c r="G55" s="164">
        <v>0</v>
      </c>
      <c r="H55" s="165">
        <v>0</v>
      </c>
      <c r="I55" s="18"/>
      <c r="J55" s="18"/>
      <c r="K55" s="18"/>
      <c r="L55" s="18"/>
      <c r="M55" s="18"/>
      <c r="N55" s="18"/>
      <c r="O55" s="18"/>
      <c r="P55" s="18"/>
    </row>
    <row r="56" spans="1:18" ht="21" customHeight="1">
      <c r="A56" s="126" t="s">
        <v>87</v>
      </c>
      <c r="B56" s="166" t="s">
        <v>88</v>
      </c>
      <c r="C56" s="128">
        <v>0</v>
      </c>
      <c r="D56" s="128">
        <v>0</v>
      </c>
      <c r="E56" s="128">
        <v>0</v>
      </c>
      <c r="F56" s="128">
        <v>0</v>
      </c>
      <c r="G56" s="128">
        <v>0</v>
      </c>
      <c r="H56" s="129">
        <v>0</v>
      </c>
      <c r="I56" s="18"/>
      <c r="J56" s="18"/>
      <c r="K56" s="18"/>
      <c r="L56" s="18"/>
      <c r="M56" s="18"/>
      <c r="N56" s="18"/>
      <c r="O56" s="18"/>
      <c r="P56" s="18"/>
    </row>
    <row r="57" spans="1:18" ht="23.25" customHeight="1">
      <c r="A57" s="112" t="s">
        <v>89</v>
      </c>
      <c r="B57" s="113" t="s">
        <v>90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8">
        <v>0</v>
      </c>
      <c r="I57" s="18"/>
      <c r="J57" s="18"/>
      <c r="K57" s="18"/>
      <c r="L57" s="18"/>
      <c r="M57" s="18"/>
      <c r="N57" s="18"/>
      <c r="O57" s="18"/>
      <c r="P57" s="18"/>
    </row>
    <row r="58" spans="1:18" ht="15.75" customHeight="1">
      <c r="A58" s="112" t="s">
        <v>89</v>
      </c>
      <c r="B58" s="113" t="s">
        <v>91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8">
        <v>0</v>
      </c>
      <c r="I58" s="18"/>
      <c r="J58" s="18"/>
      <c r="K58" s="18"/>
      <c r="L58" s="18"/>
      <c r="M58" s="18"/>
      <c r="N58" s="18"/>
      <c r="O58" s="18"/>
      <c r="P58" s="18"/>
    </row>
    <row r="59" spans="1:18" ht="21.75" customHeight="1" thickBot="1">
      <c r="A59" s="124" t="s">
        <v>92</v>
      </c>
      <c r="B59" s="125" t="s">
        <v>93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10">
        <v>0</v>
      </c>
      <c r="I59" s="30"/>
      <c r="J59" s="30"/>
      <c r="K59" s="30"/>
      <c r="L59" s="30"/>
      <c r="M59" s="30"/>
      <c r="N59" s="30"/>
      <c r="O59" s="30"/>
      <c r="P59" s="30"/>
    </row>
    <row r="60" spans="1:18" ht="15.75" customHeight="1">
      <c r="A60" s="126" t="s">
        <v>94</v>
      </c>
      <c r="B60" s="127" t="s">
        <v>95</v>
      </c>
      <c r="C60" s="128">
        <v>0</v>
      </c>
      <c r="D60" s="128">
        <v>0</v>
      </c>
      <c r="E60" s="128">
        <v>0</v>
      </c>
      <c r="F60" s="128">
        <v>0</v>
      </c>
      <c r="G60" s="128">
        <v>0</v>
      </c>
      <c r="H60" s="129">
        <v>0</v>
      </c>
      <c r="I60" s="18"/>
      <c r="J60" s="18"/>
      <c r="K60" s="18"/>
      <c r="L60" s="18"/>
      <c r="M60" s="18"/>
      <c r="N60" s="18"/>
      <c r="O60" s="18"/>
      <c r="P60" s="18"/>
    </row>
    <row r="61" spans="1:18" ht="15.75" customHeight="1">
      <c r="A61" s="112" t="s">
        <v>96</v>
      </c>
      <c r="B61" s="113" t="s">
        <v>97</v>
      </c>
      <c r="C61" s="115">
        <v>0</v>
      </c>
      <c r="D61" s="115">
        <v>0</v>
      </c>
      <c r="E61" s="115">
        <v>0</v>
      </c>
      <c r="F61" s="115">
        <v>0</v>
      </c>
      <c r="G61" s="115">
        <v>0</v>
      </c>
      <c r="H61" s="116">
        <v>0</v>
      </c>
      <c r="I61" s="18"/>
      <c r="J61" s="18"/>
      <c r="K61" s="18"/>
      <c r="L61" s="18"/>
      <c r="M61" s="18"/>
      <c r="N61" s="18"/>
      <c r="O61" s="18"/>
      <c r="P61" s="18"/>
    </row>
    <row r="62" spans="1:18" ht="15.75" customHeight="1">
      <c r="A62" s="112" t="s">
        <v>98</v>
      </c>
      <c r="B62" s="113" t="s">
        <v>90</v>
      </c>
      <c r="C62" s="2"/>
      <c r="D62" s="2"/>
      <c r="E62" s="2">
        <v>0</v>
      </c>
      <c r="F62" s="2">
        <v>0</v>
      </c>
      <c r="G62" s="2">
        <v>0</v>
      </c>
      <c r="H62" s="8">
        <v>0</v>
      </c>
      <c r="I62" s="18"/>
      <c r="J62" s="18"/>
      <c r="K62" s="18"/>
      <c r="L62" s="18"/>
      <c r="M62" s="18"/>
      <c r="N62" s="18"/>
      <c r="O62" s="18"/>
      <c r="P62" s="18"/>
    </row>
    <row r="63" spans="1:18" ht="23.25" customHeight="1">
      <c r="A63" s="112" t="s">
        <v>98</v>
      </c>
      <c r="B63" s="113" t="s">
        <v>91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8">
        <v>0</v>
      </c>
      <c r="I63" s="18"/>
      <c r="J63" s="18"/>
      <c r="K63" s="18"/>
      <c r="L63" s="18"/>
      <c r="M63" s="18"/>
      <c r="N63" s="18"/>
      <c r="O63" s="18"/>
      <c r="P63" s="18"/>
    </row>
    <row r="64" spans="1:18" ht="15.75" customHeight="1">
      <c r="A64" s="112" t="s">
        <v>99</v>
      </c>
      <c r="B64" s="120" t="s">
        <v>93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8">
        <v>0</v>
      </c>
    </row>
    <row r="65" spans="1:8" ht="15.75" customHeight="1">
      <c r="A65" s="112" t="s">
        <v>100</v>
      </c>
      <c r="B65" s="130" t="s">
        <v>101</v>
      </c>
      <c r="C65" s="115">
        <v>2680016</v>
      </c>
      <c r="D65" s="115">
        <f>D66+D69+D70</f>
        <v>3087170</v>
      </c>
      <c r="E65" s="115">
        <f t="shared" ref="E65:H65" si="13">E66+E69+E70</f>
        <v>6596764.2999999998</v>
      </c>
      <c r="F65" s="115">
        <f t="shared" si="13"/>
        <v>5308000</v>
      </c>
      <c r="G65" s="115">
        <f t="shared" si="13"/>
        <v>5608000</v>
      </c>
      <c r="H65" s="116">
        <f t="shared" si="13"/>
        <v>5908000</v>
      </c>
    </row>
    <row r="66" spans="1:8" ht="15.75" customHeight="1">
      <c r="A66" s="112" t="s">
        <v>102</v>
      </c>
      <c r="B66" s="113" t="s">
        <v>97</v>
      </c>
      <c r="C66" s="115">
        <v>2278609</v>
      </c>
      <c r="D66" s="115">
        <f>D67+D68</f>
        <v>2551336</v>
      </c>
      <c r="E66" s="115">
        <f t="shared" ref="E66:H66" si="14">E67+E68</f>
        <v>5855273.1200000001</v>
      </c>
      <c r="F66" s="115">
        <f t="shared" si="14"/>
        <v>4500000</v>
      </c>
      <c r="G66" s="115">
        <f t="shared" si="14"/>
        <v>4800000</v>
      </c>
      <c r="H66" s="116">
        <f t="shared" si="14"/>
        <v>5100000</v>
      </c>
    </row>
    <row r="67" spans="1:8" ht="15.75" customHeight="1">
      <c r="A67" s="112" t="s">
        <v>103</v>
      </c>
      <c r="B67" s="113" t="s">
        <v>90</v>
      </c>
      <c r="C67" s="2">
        <v>2278609</v>
      </c>
      <c r="D67" s="2">
        <v>2551336</v>
      </c>
      <c r="E67" s="2">
        <v>5855273.1200000001</v>
      </c>
      <c r="F67" s="2">
        <f>2950000+1550000</f>
        <v>4500000</v>
      </c>
      <c r="G67" s="2">
        <v>4800000</v>
      </c>
      <c r="H67" s="8">
        <v>5100000</v>
      </c>
    </row>
    <row r="68" spans="1:8" ht="21" customHeight="1">
      <c r="A68" s="112" t="s">
        <v>103</v>
      </c>
      <c r="B68" s="113" t="s">
        <v>91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8">
        <v>0</v>
      </c>
    </row>
    <row r="69" spans="1:8" ht="15.75" customHeight="1">
      <c r="A69" s="112" t="s">
        <v>104</v>
      </c>
      <c r="B69" s="120" t="s">
        <v>105</v>
      </c>
      <c r="C69" s="2">
        <v>19000</v>
      </c>
      <c r="D69" s="2">
        <v>18049</v>
      </c>
      <c r="E69" s="2">
        <v>7395</v>
      </c>
      <c r="F69" s="2">
        <v>8000</v>
      </c>
      <c r="G69" s="2">
        <v>8000</v>
      </c>
      <c r="H69" s="8">
        <v>8000</v>
      </c>
    </row>
    <row r="70" spans="1:8" ht="24" customHeight="1">
      <c r="A70" s="112" t="s">
        <v>106</v>
      </c>
      <c r="B70" s="113" t="s">
        <v>93</v>
      </c>
      <c r="C70" s="2">
        <v>382407</v>
      </c>
      <c r="D70" s="2">
        <v>517785</v>
      </c>
      <c r="E70" s="2">
        <v>734096.18</v>
      </c>
      <c r="F70" s="2">
        <f>800000</f>
        <v>800000</v>
      </c>
      <c r="G70" s="2">
        <v>800000</v>
      </c>
      <c r="H70" s="8">
        <v>800000</v>
      </c>
    </row>
    <row r="71" spans="1:8" ht="15.75" customHeight="1">
      <c r="A71" s="112" t="s">
        <v>107</v>
      </c>
      <c r="B71" s="113" t="s">
        <v>108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8">
        <v>0</v>
      </c>
    </row>
    <row r="72" spans="1:8" ht="15.75" customHeight="1">
      <c r="A72" s="108" t="s">
        <v>109</v>
      </c>
      <c r="B72" s="109" t="s">
        <v>110</v>
      </c>
      <c r="C72" s="110">
        <v>411291</v>
      </c>
      <c r="D72" s="110">
        <f>D73</f>
        <v>532403</v>
      </c>
      <c r="E72" s="110">
        <f t="shared" ref="E72:H72" si="15">E73</f>
        <v>3895539.85</v>
      </c>
      <c r="F72" s="110">
        <f t="shared" si="15"/>
        <v>4000000</v>
      </c>
      <c r="G72" s="110">
        <f t="shared" si="15"/>
        <v>3000000</v>
      </c>
      <c r="H72" s="111">
        <f t="shared" si="15"/>
        <v>3000000</v>
      </c>
    </row>
    <row r="73" spans="1:8" ht="15.75" customHeight="1">
      <c r="A73" s="112" t="s">
        <v>111</v>
      </c>
      <c r="B73" s="113" t="s">
        <v>112</v>
      </c>
      <c r="C73" s="115">
        <v>411291</v>
      </c>
      <c r="D73" s="115">
        <f>D84</f>
        <v>532403</v>
      </c>
      <c r="E73" s="115">
        <f t="shared" ref="E73:H73" si="16">E84</f>
        <v>3895539.85</v>
      </c>
      <c r="F73" s="115">
        <f t="shared" si="16"/>
        <v>4000000</v>
      </c>
      <c r="G73" s="115">
        <f t="shared" si="16"/>
        <v>3000000</v>
      </c>
      <c r="H73" s="116">
        <f t="shared" si="16"/>
        <v>3000000</v>
      </c>
    </row>
    <row r="74" spans="1:8" ht="15.75" customHeight="1">
      <c r="A74" s="112" t="s">
        <v>113</v>
      </c>
      <c r="B74" s="113" t="s">
        <v>49</v>
      </c>
      <c r="C74" s="115">
        <v>0</v>
      </c>
      <c r="D74" s="115">
        <v>0</v>
      </c>
      <c r="E74" s="115">
        <v>0</v>
      </c>
      <c r="F74" s="115">
        <v>0</v>
      </c>
      <c r="G74" s="115">
        <v>0</v>
      </c>
      <c r="H74" s="116">
        <v>0</v>
      </c>
    </row>
    <row r="75" spans="1:8" ht="15.75" customHeight="1">
      <c r="A75" s="112" t="s">
        <v>114</v>
      </c>
      <c r="B75" s="113" t="s">
        <v>51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8">
        <v>0</v>
      </c>
    </row>
    <row r="76" spans="1:8" ht="15.75" customHeight="1">
      <c r="A76" s="112" t="s">
        <v>114</v>
      </c>
      <c r="B76" s="113" t="s">
        <v>52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8">
        <v>0</v>
      </c>
    </row>
    <row r="77" spans="1:8" ht="25.5" customHeight="1">
      <c r="A77" s="112" t="s">
        <v>114</v>
      </c>
      <c r="B77" s="113" t="s">
        <v>53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8">
        <v>0</v>
      </c>
    </row>
    <row r="78" spans="1:8" ht="15.75" customHeight="1">
      <c r="A78" s="112" t="s">
        <v>114</v>
      </c>
      <c r="B78" s="113" t="s">
        <v>115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8">
        <v>0</v>
      </c>
    </row>
    <row r="79" spans="1:8" ht="15.75" customHeight="1">
      <c r="A79" s="112" t="s">
        <v>116</v>
      </c>
      <c r="B79" s="113" t="s">
        <v>59</v>
      </c>
      <c r="C79" s="115">
        <v>0</v>
      </c>
      <c r="D79" s="115">
        <v>0</v>
      </c>
      <c r="E79" s="115">
        <v>0</v>
      </c>
      <c r="F79" s="115">
        <v>0</v>
      </c>
      <c r="G79" s="115">
        <v>0</v>
      </c>
      <c r="H79" s="116">
        <v>0</v>
      </c>
    </row>
    <row r="80" spans="1:8" ht="15.75" customHeight="1">
      <c r="A80" s="112" t="s">
        <v>117</v>
      </c>
      <c r="B80" s="113" t="s">
        <v>51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8">
        <v>0</v>
      </c>
    </row>
    <row r="81" spans="1:8" ht="22.5" customHeight="1">
      <c r="A81" s="112" t="s">
        <v>117</v>
      </c>
      <c r="B81" s="113" t="s">
        <v>52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8">
        <v>0</v>
      </c>
    </row>
    <row r="82" spans="1:8" ht="15.75" customHeight="1">
      <c r="A82" s="112" t="s">
        <v>117</v>
      </c>
      <c r="B82" s="113" t="s">
        <v>53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8">
        <v>0</v>
      </c>
    </row>
    <row r="83" spans="1:8" ht="15.75" customHeight="1">
      <c r="A83" s="112" t="s">
        <v>117</v>
      </c>
      <c r="B83" s="113" t="s">
        <v>115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8">
        <v>0</v>
      </c>
    </row>
    <row r="84" spans="1:8" ht="15.75" customHeight="1">
      <c r="A84" s="112" t="s">
        <v>118</v>
      </c>
      <c r="B84" s="113" t="s">
        <v>119</v>
      </c>
      <c r="C84" s="115">
        <v>411291</v>
      </c>
      <c r="D84" s="115">
        <f>D85</f>
        <v>532403</v>
      </c>
      <c r="E84" s="115">
        <f t="shared" ref="E84:H84" si="17">E85</f>
        <v>3895539.85</v>
      </c>
      <c r="F84" s="115">
        <f t="shared" si="17"/>
        <v>4000000</v>
      </c>
      <c r="G84" s="115">
        <f t="shared" si="17"/>
        <v>3000000</v>
      </c>
      <c r="H84" s="116">
        <f t="shared" si="17"/>
        <v>3000000</v>
      </c>
    </row>
    <row r="85" spans="1:8" ht="15.75" customHeight="1">
      <c r="A85" s="112" t="s">
        <v>120</v>
      </c>
      <c r="B85" s="113" t="s">
        <v>121</v>
      </c>
      <c r="C85" s="2">
        <v>411291</v>
      </c>
      <c r="D85" s="2">
        <v>532403</v>
      </c>
      <c r="E85" s="2">
        <v>3895539.85</v>
      </c>
      <c r="F85" s="2">
        <v>4000000</v>
      </c>
      <c r="G85" s="2">
        <v>3000000</v>
      </c>
      <c r="H85" s="8">
        <v>3000000</v>
      </c>
    </row>
    <row r="86" spans="1:8" ht="15.75" customHeight="1">
      <c r="A86" s="112" t="s">
        <v>120</v>
      </c>
      <c r="B86" s="113" t="s">
        <v>122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8">
        <v>0</v>
      </c>
    </row>
    <row r="87" spans="1:8" ht="15.75" customHeight="1">
      <c r="A87" s="112" t="s">
        <v>123</v>
      </c>
      <c r="B87" s="113" t="s">
        <v>124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8">
        <v>0</v>
      </c>
    </row>
    <row r="88" spans="1:8" ht="15.75" customHeight="1">
      <c r="A88" s="112" t="s">
        <v>125</v>
      </c>
      <c r="B88" s="113" t="s">
        <v>126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8">
        <v>0</v>
      </c>
    </row>
    <row r="89" spans="1:8">
      <c r="A89" s="131" t="s">
        <v>127</v>
      </c>
      <c r="B89" s="132" t="s">
        <v>128</v>
      </c>
      <c r="C89" s="3">
        <v>0</v>
      </c>
      <c r="D89" s="3">
        <v>0</v>
      </c>
      <c r="E89" s="3">
        <v>10898</v>
      </c>
      <c r="F89" s="3">
        <v>0</v>
      </c>
      <c r="G89" s="3">
        <v>0</v>
      </c>
      <c r="H89" s="11">
        <v>0</v>
      </c>
    </row>
    <row r="90" spans="1:8">
      <c r="A90" s="133" t="s">
        <v>129</v>
      </c>
      <c r="B90" s="134" t="s">
        <v>130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11">
        <v>0</v>
      </c>
    </row>
    <row r="91" spans="1:8" ht="12.75" thickBot="1">
      <c r="A91" s="133" t="s">
        <v>131</v>
      </c>
      <c r="B91" s="134" t="s">
        <v>132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11">
        <v>0</v>
      </c>
    </row>
    <row r="92" spans="1:8" ht="12.75" thickBot="1">
      <c r="A92" s="135"/>
      <c r="B92" s="136" t="s">
        <v>133</v>
      </c>
      <c r="C92" s="137">
        <v>27173040</v>
      </c>
      <c r="D92" s="137">
        <f>D5+D47</f>
        <v>27812281</v>
      </c>
      <c r="E92" s="137">
        <f t="shared" ref="E92:H92" si="18">E5+E47</f>
        <v>45448948.439999998</v>
      </c>
      <c r="F92" s="137">
        <f t="shared" si="18"/>
        <v>44360412</v>
      </c>
      <c r="G92" s="137">
        <f t="shared" si="18"/>
        <v>43527532</v>
      </c>
      <c r="H92" s="138">
        <f t="shared" si="18"/>
        <v>43658132</v>
      </c>
    </row>
    <row r="93" spans="1:8">
      <c r="A93" s="4"/>
      <c r="B93" s="18"/>
      <c r="C93" s="30"/>
      <c r="D93" s="30"/>
      <c r="E93" s="30"/>
      <c r="F93" s="30"/>
      <c r="G93" s="30"/>
    </row>
    <row r="94" spans="1:8" ht="12.75" thickBot="1">
      <c r="A94" s="4"/>
      <c r="B94" s="18"/>
      <c r="C94" s="30"/>
      <c r="D94" s="30"/>
      <c r="E94" s="30"/>
      <c r="F94" s="30"/>
      <c r="G94" s="30"/>
    </row>
    <row r="95" spans="1:8" ht="12.75" thickBot="1">
      <c r="A95" s="139" t="s">
        <v>0</v>
      </c>
      <c r="B95" s="92" t="s">
        <v>134</v>
      </c>
      <c r="C95" s="93">
        <v>2015</v>
      </c>
      <c r="D95" s="93">
        <v>2016</v>
      </c>
      <c r="E95" s="95">
        <v>2020</v>
      </c>
      <c r="F95" s="95">
        <v>2021</v>
      </c>
      <c r="G95" s="95">
        <v>2022</v>
      </c>
      <c r="H95" s="162">
        <v>2023</v>
      </c>
    </row>
    <row r="96" spans="1:8">
      <c r="A96" s="96">
        <v>1</v>
      </c>
      <c r="B96" s="97">
        <v>2</v>
      </c>
      <c r="C96" s="98">
        <v>3</v>
      </c>
      <c r="D96" s="98">
        <v>4</v>
      </c>
      <c r="E96" s="99">
        <v>5</v>
      </c>
      <c r="F96" s="99">
        <v>6</v>
      </c>
      <c r="G96" s="98">
        <v>7</v>
      </c>
      <c r="H96" s="12">
        <v>8</v>
      </c>
    </row>
    <row r="97" spans="1:8">
      <c r="A97" s="140" t="s">
        <v>135</v>
      </c>
      <c r="B97" s="141"/>
      <c r="C97" s="141"/>
      <c r="D97" s="141"/>
      <c r="E97" s="141"/>
      <c r="F97" s="141"/>
      <c r="G97" s="141"/>
      <c r="H97" s="142"/>
    </row>
    <row r="98" spans="1:8">
      <c r="A98" s="104" t="s">
        <v>3</v>
      </c>
      <c r="B98" s="105" t="s">
        <v>136</v>
      </c>
      <c r="C98" s="106">
        <v>5354271</v>
      </c>
      <c r="D98" s="106">
        <f>D99+D107+D110</f>
        <v>5934457.4000000004</v>
      </c>
      <c r="E98" s="106">
        <f t="shared" ref="E98:H98" si="19">E99+E107+E110</f>
        <v>6695531.5499999989</v>
      </c>
      <c r="F98" s="106">
        <f t="shared" si="19"/>
        <v>7856931.5499999998</v>
      </c>
      <c r="G98" s="106">
        <f t="shared" si="19"/>
        <v>8497531.5500000007</v>
      </c>
      <c r="H98" s="107">
        <f t="shared" si="19"/>
        <v>9188131.5500000007</v>
      </c>
    </row>
    <row r="99" spans="1:8">
      <c r="A99" s="108" t="s">
        <v>5</v>
      </c>
      <c r="B99" s="109" t="s">
        <v>137</v>
      </c>
      <c r="C99" s="5">
        <v>9720373</v>
      </c>
      <c r="D99" s="5">
        <v>9871445</v>
      </c>
      <c r="E99" s="5">
        <v>9774714</v>
      </c>
      <c r="F99" s="5">
        <v>9774714</v>
      </c>
      <c r="G99" s="5">
        <v>9774714</v>
      </c>
      <c r="H99" s="13">
        <v>9774714</v>
      </c>
    </row>
    <row r="100" spans="1:8">
      <c r="A100" s="108" t="s">
        <v>138</v>
      </c>
      <c r="B100" s="143" t="s">
        <v>213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13">
        <v>0</v>
      </c>
    </row>
    <row r="101" spans="1:8" ht="36">
      <c r="A101" s="118" t="s">
        <v>139</v>
      </c>
      <c r="B101" s="144" t="s">
        <v>140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8">
        <v>0</v>
      </c>
    </row>
    <row r="102" spans="1:8">
      <c r="A102" s="108" t="s">
        <v>33</v>
      </c>
      <c r="B102" s="109" t="s">
        <v>214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13">
        <v>0</v>
      </c>
    </row>
    <row r="103" spans="1:8">
      <c r="A103" s="118" t="s">
        <v>141</v>
      </c>
      <c r="B103" s="145" t="s">
        <v>142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8">
        <v>0</v>
      </c>
    </row>
    <row r="104" spans="1:8">
      <c r="A104" s="108" t="s">
        <v>41</v>
      </c>
      <c r="B104" s="109" t="s">
        <v>215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13">
        <v>0</v>
      </c>
    </row>
    <row r="105" spans="1:8">
      <c r="A105" s="118" t="s">
        <v>143</v>
      </c>
      <c r="B105" s="145" t="s">
        <v>144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8">
        <v>0</v>
      </c>
    </row>
    <row r="106" spans="1:8">
      <c r="A106" s="118" t="s">
        <v>143</v>
      </c>
      <c r="B106" s="145" t="s">
        <v>145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8">
        <v>0</v>
      </c>
    </row>
    <row r="107" spans="1:8">
      <c r="A107" s="108" t="s">
        <v>63</v>
      </c>
      <c r="B107" s="109" t="s">
        <v>146</v>
      </c>
      <c r="C107" s="110">
        <v>-4392432</v>
      </c>
      <c r="D107" s="110">
        <f>D108+D109</f>
        <v>-4366101.5999999996</v>
      </c>
      <c r="E107" s="110">
        <f t="shared" ref="E107:H107" si="20">E108+E109</f>
        <v>-4089243.22</v>
      </c>
      <c r="F107" s="110">
        <f t="shared" si="20"/>
        <v>-3079182.45</v>
      </c>
      <c r="G107" s="110">
        <f t="shared" si="20"/>
        <v>-1917782.4500000002</v>
      </c>
      <c r="H107" s="111">
        <f t="shared" si="20"/>
        <v>-1277182.4500000002</v>
      </c>
    </row>
    <row r="108" spans="1:8">
      <c r="A108" s="118" t="s">
        <v>65</v>
      </c>
      <c r="B108" s="145" t="s">
        <v>147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8">
        <v>0</v>
      </c>
    </row>
    <row r="109" spans="1:8">
      <c r="A109" s="118" t="s">
        <v>67</v>
      </c>
      <c r="B109" s="145" t="s">
        <v>148</v>
      </c>
      <c r="C109" s="2">
        <v>-4392432</v>
      </c>
      <c r="D109" s="2">
        <v>-4366101.5999999996</v>
      </c>
      <c r="E109" s="2">
        <f>-4089243.22</f>
        <v>-4089243.22</v>
      </c>
      <c r="F109" s="2">
        <f>E109+E110</f>
        <v>-3079182.45</v>
      </c>
      <c r="G109" s="2">
        <f>F109+F110</f>
        <v>-1917782.4500000002</v>
      </c>
      <c r="H109" s="8">
        <f t="shared" ref="H109" si="21">G109+G110</f>
        <v>-1277182.4500000002</v>
      </c>
    </row>
    <row r="110" spans="1:8">
      <c r="A110" s="108" t="s">
        <v>149</v>
      </c>
      <c r="B110" s="109" t="s">
        <v>150</v>
      </c>
      <c r="C110" s="110">
        <v>26330</v>
      </c>
      <c r="D110" s="110">
        <f>D111+D112</f>
        <v>429114</v>
      </c>
      <c r="E110" s="110">
        <f t="shared" ref="E110:H110" si="22">E111+E112</f>
        <v>1010060.77</v>
      </c>
      <c r="F110" s="110">
        <f t="shared" si="22"/>
        <v>1161400</v>
      </c>
      <c r="G110" s="110">
        <f t="shared" si="22"/>
        <v>640600</v>
      </c>
      <c r="H110" s="111">
        <f t="shared" si="22"/>
        <v>690600</v>
      </c>
    </row>
    <row r="111" spans="1:8">
      <c r="A111" s="118" t="s">
        <v>151</v>
      </c>
      <c r="B111" s="145" t="s">
        <v>147</v>
      </c>
      <c r="C111" s="2">
        <v>26330</v>
      </c>
      <c r="D111" s="2">
        <v>429114</v>
      </c>
      <c r="E111" s="2">
        <v>1010060.77</v>
      </c>
      <c r="F111" s="2">
        <v>1161400</v>
      </c>
      <c r="G111" s="2">
        <v>640600</v>
      </c>
      <c r="H111" s="8">
        <v>690600</v>
      </c>
    </row>
    <row r="112" spans="1:8">
      <c r="A112" s="118" t="s">
        <v>152</v>
      </c>
      <c r="B112" s="145" t="s">
        <v>148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8">
        <v>0</v>
      </c>
    </row>
    <row r="113" spans="1:8" ht="24">
      <c r="A113" s="108" t="s">
        <v>153</v>
      </c>
      <c r="B113" s="143" t="s">
        <v>154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13">
        <v>0</v>
      </c>
    </row>
    <row r="114" spans="1:8" ht="24">
      <c r="A114" s="104" t="s">
        <v>69</v>
      </c>
      <c r="B114" s="146" t="s">
        <v>155</v>
      </c>
      <c r="C114" s="106">
        <v>21818769</v>
      </c>
      <c r="D114" s="106">
        <f>D115+D123+D157+D132</f>
        <v>21877824</v>
      </c>
      <c r="E114" s="106">
        <f>E115+E123+E157+E132</f>
        <v>38753416.810000002</v>
      </c>
      <c r="F114" s="106">
        <f t="shared" ref="F114:H114" si="23">F115+F123+F157+F132</f>
        <v>36503480</v>
      </c>
      <c r="G114" s="106">
        <f t="shared" si="23"/>
        <v>35030000</v>
      </c>
      <c r="H114" s="107">
        <f t="shared" si="23"/>
        <v>34470000</v>
      </c>
    </row>
    <row r="115" spans="1:8">
      <c r="A115" s="108" t="s">
        <v>71</v>
      </c>
      <c r="B115" s="143" t="s">
        <v>156</v>
      </c>
      <c r="C115" s="110">
        <v>1974204</v>
      </c>
      <c r="D115" s="110">
        <f>D117+D120</f>
        <v>2385585</v>
      </c>
      <c r="E115" s="110">
        <f t="shared" ref="E115:H115" si="24">E117+E120</f>
        <v>4363484.5600000005</v>
      </c>
      <c r="F115" s="110">
        <f t="shared" si="24"/>
        <v>3360000</v>
      </c>
      <c r="G115" s="110">
        <f t="shared" si="24"/>
        <v>3360000</v>
      </c>
      <c r="H115" s="111">
        <f t="shared" si="24"/>
        <v>3360000</v>
      </c>
    </row>
    <row r="116" spans="1:8">
      <c r="A116" s="112" t="s">
        <v>73</v>
      </c>
      <c r="B116" s="117" t="s">
        <v>157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8">
        <v>0</v>
      </c>
    </row>
    <row r="117" spans="1:8">
      <c r="A117" s="112" t="s">
        <v>75</v>
      </c>
      <c r="B117" s="117" t="s">
        <v>158</v>
      </c>
      <c r="C117" s="115">
        <v>1580907</v>
      </c>
      <c r="D117" s="115">
        <f>D118+D119</f>
        <v>1544123</v>
      </c>
      <c r="E117" s="115">
        <f t="shared" ref="E117:H117" si="25">E118+E119</f>
        <v>2002965</v>
      </c>
      <c r="F117" s="115">
        <f t="shared" si="25"/>
        <v>2010000</v>
      </c>
      <c r="G117" s="115">
        <f t="shared" si="25"/>
        <v>2010000</v>
      </c>
      <c r="H117" s="116">
        <f t="shared" si="25"/>
        <v>2010000</v>
      </c>
    </row>
    <row r="118" spans="1:8">
      <c r="A118" s="112" t="s">
        <v>159</v>
      </c>
      <c r="B118" s="117" t="s">
        <v>160</v>
      </c>
      <c r="C118" s="2">
        <v>1070667</v>
      </c>
      <c r="D118" s="2">
        <v>1145252</v>
      </c>
      <c r="E118" s="2">
        <v>1495921</v>
      </c>
      <c r="F118" s="2">
        <v>1500000</v>
      </c>
      <c r="G118" s="2">
        <v>1500000</v>
      </c>
      <c r="H118" s="8">
        <v>1500000</v>
      </c>
    </row>
    <row r="119" spans="1:8">
      <c r="A119" s="112" t="s">
        <v>159</v>
      </c>
      <c r="B119" s="117" t="s">
        <v>161</v>
      </c>
      <c r="C119" s="2">
        <v>510240</v>
      </c>
      <c r="D119" s="2">
        <v>398871</v>
      </c>
      <c r="E119" s="2">
        <v>507044</v>
      </c>
      <c r="F119" s="2">
        <v>510000</v>
      </c>
      <c r="G119" s="2">
        <v>510000</v>
      </c>
      <c r="H119" s="8">
        <v>510000</v>
      </c>
    </row>
    <row r="120" spans="1:8">
      <c r="A120" s="112" t="s">
        <v>77</v>
      </c>
      <c r="B120" s="113" t="s">
        <v>162</v>
      </c>
      <c r="C120" s="115">
        <v>393297</v>
      </c>
      <c r="D120" s="115">
        <f>D121+D122</f>
        <v>841462</v>
      </c>
      <c r="E120" s="115">
        <f t="shared" ref="E120:H120" si="26">E121+E122</f>
        <v>2360519.56</v>
      </c>
      <c r="F120" s="115">
        <f t="shared" si="26"/>
        <v>1350000</v>
      </c>
      <c r="G120" s="115">
        <f t="shared" si="26"/>
        <v>1350000</v>
      </c>
      <c r="H120" s="116">
        <f t="shared" si="26"/>
        <v>1350000</v>
      </c>
    </row>
    <row r="121" spans="1:8">
      <c r="A121" s="112" t="s">
        <v>163</v>
      </c>
      <c r="B121" s="113" t="s">
        <v>164</v>
      </c>
      <c r="C121" s="2">
        <v>147227</v>
      </c>
      <c r="D121" s="2">
        <v>684235</v>
      </c>
      <c r="E121" s="2">
        <v>0</v>
      </c>
      <c r="F121" s="2">
        <v>0</v>
      </c>
      <c r="G121" s="2">
        <v>0</v>
      </c>
      <c r="H121" s="8">
        <v>0</v>
      </c>
    </row>
    <row r="122" spans="1:8">
      <c r="A122" s="112" t="s">
        <v>163</v>
      </c>
      <c r="B122" s="113" t="s">
        <v>165</v>
      </c>
      <c r="C122" s="2">
        <v>246070</v>
      </c>
      <c r="D122" s="2">
        <v>157227</v>
      </c>
      <c r="E122" s="2">
        <v>2360519.56</v>
      </c>
      <c r="F122" s="2">
        <v>1350000</v>
      </c>
      <c r="G122" s="2">
        <v>1350000</v>
      </c>
      <c r="H122" s="8">
        <v>1350000</v>
      </c>
    </row>
    <row r="123" spans="1:8">
      <c r="A123" s="108" t="s">
        <v>83</v>
      </c>
      <c r="B123" s="109" t="s">
        <v>166</v>
      </c>
      <c r="C123" s="110">
        <v>1744531</v>
      </c>
      <c r="D123" s="110">
        <f>D126</f>
        <v>1391962</v>
      </c>
      <c r="E123" s="110">
        <f t="shared" ref="E123:H123" si="27">E126</f>
        <v>3833184.04</v>
      </c>
      <c r="F123" s="110">
        <f t="shared" si="27"/>
        <v>3290000</v>
      </c>
      <c r="G123" s="110">
        <f t="shared" si="27"/>
        <v>3090000</v>
      </c>
      <c r="H123" s="111">
        <f t="shared" si="27"/>
        <v>2890000</v>
      </c>
    </row>
    <row r="124" spans="1:8">
      <c r="A124" s="118" t="s">
        <v>85</v>
      </c>
      <c r="B124" s="145" t="s">
        <v>167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8">
        <v>0</v>
      </c>
    </row>
    <row r="125" spans="1:8" ht="36">
      <c r="A125" s="118" t="s">
        <v>94</v>
      </c>
      <c r="B125" s="144" t="s">
        <v>168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8">
        <v>0</v>
      </c>
    </row>
    <row r="126" spans="1:8">
      <c r="A126" s="112" t="s">
        <v>100</v>
      </c>
      <c r="B126" s="113" t="s">
        <v>169</v>
      </c>
      <c r="C126" s="115">
        <v>1744531</v>
      </c>
      <c r="D126" s="115">
        <f>D127</f>
        <v>1391962</v>
      </c>
      <c r="E126" s="115">
        <f t="shared" ref="E126:H126" si="28">E127</f>
        <v>3833184.04</v>
      </c>
      <c r="F126" s="115">
        <f t="shared" si="28"/>
        <v>3290000</v>
      </c>
      <c r="G126" s="115">
        <f t="shared" si="28"/>
        <v>3090000</v>
      </c>
      <c r="H126" s="116">
        <f t="shared" si="28"/>
        <v>2890000</v>
      </c>
    </row>
    <row r="127" spans="1:8">
      <c r="A127" s="112" t="s">
        <v>102</v>
      </c>
      <c r="B127" s="113" t="s">
        <v>170</v>
      </c>
      <c r="C127" s="2">
        <v>1744531</v>
      </c>
      <c r="D127" s="2">
        <v>1391962</v>
      </c>
      <c r="E127" s="2">
        <v>3833184.04</v>
      </c>
      <c r="F127" s="2">
        <v>3290000</v>
      </c>
      <c r="G127" s="2">
        <v>3090000</v>
      </c>
      <c r="H127" s="8">
        <v>2890000</v>
      </c>
    </row>
    <row r="128" spans="1:8">
      <c r="A128" s="112" t="s">
        <v>104</v>
      </c>
      <c r="B128" s="117" t="s">
        <v>171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8">
        <v>0</v>
      </c>
    </row>
    <row r="129" spans="1:8">
      <c r="A129" s="112" t="s">
        <v>106</v>
      </c>
      <c r="B129" s="113" t="s">
        <v>172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8">
        <v>0</v>
      </c>
    </row>
    <row r="130" spans="1:8">
      <c r="A130" s="112" t="s">
        <v>107</v>
      </c>
      <c r="B130" s="113" t="s">
        <v>173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8">
        <v>0</v>
      </c>
    </row>
    <row r="131" spans="1:8">
      <c r="A131" s="112" t="s">
        <v>174</v>
      </c>
      <c r="B131" s="113" t="s">
        <v>93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8">
        <v>0</v>
      </c>
    </row>
    <row r="132" spans="1:8">
      <c r="A132" s="108" t="s">
        <v>109</v>
      </c>
      <c r="B132" s="109" t="s">
        <v>175</v>
      </c>
      <c r="C132" s="110">
        <v>5963974</v>
      </c>
      <c r="D132" s="110">
        <f>D143+D155</f>
        <v>5063957</v>
      </c>
      <c r="E132" s="110">
        <f t="shared" ref="E132:H132" si="29">E143+E155</f>
        <v>8244997.5999999996</v>
      </c>
      <c r="F132" s="110">
        <f t="shared" si="29"/>
        <v>8080000</v>
      </c>
      <c r="G132" s="110">
        <f t="shared" si="29"/>
        <v>7780000</v>
      </c>
      <c r="H132" s="111">
        <f t="shared" si="29"/>
        <v>7770000</v>
      </c>
    </row>
    <row r="133" spans="1:8">
      <c r="A133" s="118" t="s">
        <v>111</v>
      </c>
      <c r="B133" s="145" t="s">
        <v>176</v>
      </c>
      <c r="C133" s="147">
        <v>0</v>
      </c>
      <c r="D133" s="147">
        <v>0</v>
      </c>
      <c r="E133" s="147">
        <v>0</v>
      </c>
      <c r="F133" s="147">
        <v>0</v>
      </c>
      <c r="G133" s="147">
        <v>0</v>
      </c>
      <c r="H133" s="148">
        <v>0</v>
      </c>
    </row>
    <row r="134" spans="1:8">
      <c r="A134" s="118" t="s">
        <v>113</v>
      </c>
      <c r="B134" s="113" t="s">
        <v>177</v>
      </c>
      <c r="C134" s="147">
        <v>0</v>
      </c>
      <c r="D134" s="147">
        <v>0</v>
      </c>
      <c r="E134" s="147">
        <v>0</v>
      </c>
      <c r="F134" s="147">
        <v>0</v>
      </c>
      <c r="G134" s="147">
        <v>0</v>
      </c>
      <c r="H134" s="148">
        <v>0</v>
      </c>
    </row>
    <row r="135" spans="1:8">
      <c r="A135" s="118" t="s">
        <v>114</v>
      </c>
      <c r="B135" s="113" t="s">
        <v>90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8">
        <v>0</v>
      </c>
    </row>
    <row r="136" spans="1:8">
      <c r="A136" s="118" t="s">
        <v>114</v>
      </c>
      <c r="B136" s="113" t="s">
        <v>91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8">
        <v>0</v>
      </c>
    </row>
    <row r="137" spans="1:8">
      <c r="A137" s="118" t="s">
        <v>116</v>
      </c>
      <c r="B137" s="113" t="s">
        <v>93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8">
        <v>0</v>
      </c>
    </row>
    <row r="138" spans="1:8" ht="36.75" thickBot="1">
      <c r="A138" s="124" t="s">
        <v>125</v>
      </c>
      <c r="B138" s="149" t="s">
        <v>178</v>
      </c>
      <c r="C138" s="150">
        <v>0</v>
      </c>
      <c r="D138" s="150">
        <v>0</v>
      </c>
      <c r="E138" s="150">
        <v>0</v>
      </c>
      <c r="F138" s="150">
        <v>0</v>
      </c>
      <c r="G138" s="150">
        <v>0</v>
      </c>
      <c r="H138" s="151">
        <v>0</v>
      </c>
    </row>
    <row r="139" spans="1:8">
      <c r="A139" s="122" t="s">
        <v>179</v>
      </c>
      <c r="B139" s="123" t="s">
        <v>177</v>
      </c>
      <c r="C139" s="152">
        <v>0</v>
      </c>
      <c r="D139" s="152">
        <v>0</v>
      </c>
      <c r="E139" s="152">
        <v>0</v>
      </c>
      <c r="F139" s="152">
        <v>0</v>
      </c>
      <c r="G139" s="152">
        <v>0</v>
      </c>
      <c r="H139" s="167">
        <v>0</v>
      </c>
    </row>
    <row r="140" spans="1:8">
      <c r="A140" s="112" t="s">
        <v>180</v>
      </c>
      <c r="B140" s="113" t="s">
        <v>90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8">
        <v>0</v>
      </c>
    </row>
    <row r="141" spans="1:8">
      <c r="A141" s="112" t="s">
        <v>180</v>
      </c>
      <c r="B141" s="113" t="s">
        <v>91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8">
        <v>0</v>
      </c>
    </row>
    <row r="142" spans="1:8">
      <c r="A142" s="112" t="s">
        <v>181</v>
      </c>
      <c r="B142" s="113" t="s">
        <v>93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8">
        <v>0</v>
      </c>
    </row>
    <row r="143" spans="1:8">
      <c r="A143" s="112" t="s">
        <v>182</v>
      </c>
      <c r="B143" s="113" t="s">
        <v>183</v>
      </c>
      <c r="C143" s="115">
        <v>5365912</v>
      </c>
      <c r="D143" s="115">
        <f>D144+D147+D152+D153+D154</f>
        <v>4541023</v>
      </c>
      <c r="E143" s="115">
        <f t="shared" ref="E143:H143" si="30">E144+E147+E152+E153+E154</f>
        <v>7528512.9299999997</v>
      </c>
      <c r="F143" s="115">
        <f t="shared" si="30"/>
        <v>7360000</v>
      </c>
      <c r="G143" s="115">
        <f t="shared" si="30"/>
        <v>7060000</v>
      </c>
      <c r="H143" s="116">
        <f t="shared" si="30"/>
        <v>7050000</v>
      </c>
    </row>
    <row r="144" spans="1:8">
      <c r="A144" s="112" t="s">
        <v>184</v>
      </c>
      <c r="B144" s="113" t="s">
        <v>170</v>
      </c>
      <c r="C144" s="2">
        <v>1207506</v>
      </c>
      <c r="D144" s="2">
        <v>352682</v>
      </c>
      <c r="E144" s="2">
        <v>333016</v>
      </c>
      <c r="F144" s="2">
        <v>280000</v>
      </c>
      <c r="G144" s="2">
        <v>280000</v>
      </c>
      <c r="H144" s="8">
        <v>280000</v>
      </c>
    </row>
    <row r="145" spans="1:8">
      <c r="A145" s="112" t="s">
        <v>185</v>
      </c>
      <c r="B145" s="117" t="s">
        <v>171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8">
        <v>0</v>
      </c>
    </row>
    <row r="146" spans="1:8">
      <c r="A146" s="112" t="s">
        <v>186</v>
      </c>
      <c r="B146" s="168" t="s">
        <v>172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8">
        <v>0</v>
      </c>
    </row>
    <row r="147" spans="1:8">
      <c r="A147" s="112" t="s">
        <v>187</v>
      </c>
      <c r="B147" s="113" t="s">
        <v>177</v>
      </c>
      <c r="C147" s="115">
        <v>1796395</v>
      </c>
      <c r="D147" s="115">
        <f>D148</f>
        <v>1783331</v>
      </c>
      <c r="E147" s="115">
        <f t="shared" ref="E147:H147" si="31">E148</f>
        <v>2720593.81</v>
      </c>
      <c r="F147" s="115">
        <f t="shared" si="31"/>
        <v>2700000</v>
      </c>
      <c r="G147" s="115">
        <f t="shared" si="31"/>
        <v>2700000</v>
      </c>
      <c r="H147" s="116">
        <f t="shared" si="31"/>
        <v>2700000</v>
      </c>
    </row>
    <row r="148" spans="1:8">
      <c r="A148" s="112" t="s">
        <v>188</v>
      </c>
      <c r="B148" s="113" t="s">
        <v>90</v>
      </c>
      <c r="C148" s="2">
        <v>1796395</v>
      </c>
      <c r="D148" s="2">
        <v>1783331</v>
      </c>
      <c r="E148" s="2">
        <v>2720593.81</v>
      </c>
      <c r="F148" s="2">
        <v>2700000</v>
      </c>
      <c r="G148" s="2">
        <v>2700000</v>
      </c>
      <c r="H148" s="8">
        <v>2700000</v>
      </c>
    </row>
    <row r="149" spans="1:8">
      <c r="A149" s="112" t="s">
        <v>189</v>
      </c>
      <c r="B149" s="113" t="s">
        <v>91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8">
        <v>0</v>
      </c>
    </row>
    <row r="150" spans="1:8">
      <c r="A150" s="112" t="s">
        <v>190</v>
      </c>
      <c r="B150" s="113" t="s">
        <v>191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8">
        <v>0</v>
      </c>
    </row>
    <row r="151" spans="1:8">
      <c r="A151" s="112" t="s">
        <v>192</v>
      </c>
      <c r="B151" s="123" t="s">
        <v>173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169">
        <v>0</v>
      </c>
    </row>
    <row r="152" spans="1:8" ht="36">
      <c r="A152" s="112" t="s">
        <v>193</v>
      </c>
      <c r="B152" s="120" t="s">
        <v>194</v>
      </c>
      <c r="C152" s="2">
        <v>1347301</v>
      </c>
      <c r="D152" s="2">
        <v>1286392</v>
      </c>
      <c r="E152" s="2">
        <v>2115490.02</v>
      </c>
      <c r="F152" s="2">
        <v>2150000</v>
      </c>
      <c r="G152" s="2">
        <v>2000000</v>
      </c>
      <c r="H152" s="8">
        <v>2000000</v>
      </c>
    </row>
    <row r="153" spans="1:8">
      <c r="A153" s="112" t="s">
        <v>195</v>
      </c>
      <c r="B153" s="113" t="s">
        <v>196</v>
      </c>
      <c r="C153" s="2">
        <v>919528</v>
      </c>
      <c r="D153" s="2">
        <v>1063998</v>
      </c>
      <c r="E153" s="2">
        <v>1747554.47</v>
      </c>
      <c r="F153" s="2">
        <v>1750000</v>
      </c>
      <c r="G153" s="2">
        <v>1800000</v>
      </c>
      <c r="H153" s="8">
        <v>1850000</v>
      </c>
    </row>
    <row r="154" spans="1:8">
      <c r="A154" s="112" t="s">
        <v>197</v>
      </c>
      <c r="B154" s="113" t="s">
        <v>93</v>
      </c>
      <c r="C154" s="2">
        <v>95182</v>
      </c>
      <c r="D154" s="2">
        <v>54620</v>
      </c>
      <c r="E154" s="2">
        <v>611858.63</v>
      </c>
      <c r="F154" s="2">
        <v>480000</v>
      </c>
      <c r="G154" s="2">
        <v>280000</v>
      </c>
      <c r="H154" s="8">
        <v>220000</v>
      </c>
    </row>
    <row r="155" spans="1:8">
      <c r="A155" s="112" t="s">
        <v>198</v>
      </c>
      <c r="B155" s="113" t="s">
        <v>199</v>
      </c>
      <c r="C155" s="2">
        <v>598062</v>
      </c>
      <c r="D155" s="2">
        <v>522934</v>
      </c>
      <c r="E155" s="2">
        <v>716484.67</v>
      </c>
      <c r="F155" s="2">
        <v>720000</v>
      </c>
      <c r="G155" s="2">
        <v>720000</v>
      </c>
      <c r="H155" s="8">
        <v>720000</v>
      </c>
    </row>
    <row r="156" spans="1:8">
      <c r="A156" s="112" t="s">
        <v>200</v>
      </c>
      <c r="B156" s="153" t="s">
        <v>201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170">
        <v>0</v>
      </c>
    </row>
    <row r="157" spans="1:8">
      <c r="A157" s="131" t="s">
        <v>127</v>
      </c>
      <c r="B157" s="154" t="s">
        <v>202</v>
      </c>
      <c r="C157" s="155">
        <v>12136060</v>
      </c>
      <c r="D157" s="155">
        <f>D159</f>
        <v>13036320</v>
      </c>
      <c r="E157" s="155">
        <f t="shared" ref="E157:H157" si="32">E159</f>
        <v>22311750.610000003</v>
      </c>
      <c r="F157" s="155">
        <f t="shared" si="32"/>
        <v>21773480</v>
      </c>
      <c r="G157" s="155">
        <f t="shared" si="32"/>
        <v>20800000</v>
      </c>
      <c r="H157" s="171">
        <f t="shared" si="32"/>
        <v>20450000</v>
      </c>
    </row>
    <row r="158" spans="1:8">
      <c r="A158" s="112" t="s">
        <v>203</v>
      </c>
      <c r="B158" s="156" t="s">
        <v>204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8">
        <v>0</v>
      </c>
    </row>
    <row r="159" spans="1:8">
      <c r="A159" s="157" t="s">
        <v>205</v>
      </c>
      <c r="B159" s="158" t="s">
        <v>68</v>
      </c>
      <c r="C159" s="115">
        <v>12136060</v>
      </c>
      <c r="D159" s="115">
        <f>D160+D163</f>
        <v>13036320</v>
      </c>
      <c r="E159" s="115">
        <f t="shared" ref="E159:H159" si="33">E160+E163</f>
        <v>22311750.610000003</v>
      </c>
      <c r="F159" s="115">
        <f t="shared" si="33"/>
        <v>21773480</v>
      </c>
      <c r="G159" s="115">
        <f t="shared" si="33"/>
        <v>20800000</v>
      </c>
      <c r="H159" s="116">
        <f t="shared" si="33"/>
        <v>20450000</v>
      </c>
    </row>
    <row r="160" spans="1:8">
      <c r="A160" s="157" t="s">
        <v>206</v>
      </c>
      <c r="B160" s="156" t="s">
        <v>207</v>
      </c>
      <c r="C160" s="2">
        <v>11100559</v>
      </c>
      <c r="D160" s="2">
        <f>D161+D162</f>
        <v>12508736</v>
      </c>
      <c r="E160" s="2">
        <f t="shared" ref="E160:H160" si="34">E161+E162</f>
        <v>20591718.350000001</v>
      </c>
      <c r="F160" s="2">
        <f t="shared" si="34"/>
        <v>20223480</v>
      </c>
      <c r="G160" s="2">
        <f t="shared" si="34"/>
        <v>19300000</v>
      </c>
      <c r="H160" s="8">
        <f t="shared" si="34"/>
        <v>19000000</v>
      </c>
    </row>
    <row r="161" spans="1:8">
      <c r="A161" s="157"/>
      <c r="B161" s="159" t="s">
        <v>208</v>
      </c>
      <c r="C161" s="7">
        <v>0</v>
      </c>
      <c r="D161" s="7">
        <v>0</v>
      </c>
      <c r="E161" s="7">
        <v>1949680</v>
      </c>
      <c r="F161" s="7">
        <f>1350000-27049-400000+800000+300000-1</f>
        <v>2022950</v>
      </c>
      <c r="G161" s="7">
        <v>1700000</v>
      </c>
      <c r="H161" s="170">
        <v>1500000</v>
      </c>
    </row>
    <row r="162" spans="1:8" ht="24">
      <c r="A162" s="157"/>
      <c r="B162" s="159" t="s">
        <v>209</v>
      </c>
      <c r="C162" s="7">
        <v>11100559</v>
      </c>
      <c r="D162" s="7">
        <v>12508736</v>
      </c>
      <c r="E162" s="7">
        <f>20283606.35-1849980+210000-1588</f>
        <v>18642038.350000001</v>
      </c>
      <c r="F162" s="7">
        <f>18200532-2</f>
        <v>18200530</v>
      </c>
      <c r="G162" s="7">
        <f>18200000-600000</f>
        <v>17600000</v>
      </c>
      <c r="H162" s="170">
        <v>17500000</v>
      </c>
    </row>
    <row r="163" spans="1:8">
      <c r="A163" s="112" t="s">
        <v>206</v>
      </c>
      <c r="B163" s="156" t="s">
        <v>210</v>
      </c>
      <c r="C163" s="2">
        <v>1035501</v>
      </c>
      <c r="D163" s="2">
        <f>D164+D165</f>
        <v>527584</v>
      </c>
      <c r="E163" s="2">
        <f t="shared" ref="E163:H163" si="35">E164+E165</f>
        <v>1720032.26</v>
      </c>
      <c r="F163" s="2">
        <f t="shared" si="35"/>
        <v>1550000</v>
      </c>
      <c r="G163" s="2">
        <f t="shared" si="35"/>
        <v>1500000</v>
      </c>
      <c r="H163" s="8">
        <f t="shared" si="35"/>
        <v>1450000</v>
      </c>
    </row>
    <row r="164" spans="1:8">
      <c r="A164" s="112"/>
      <c r="B164" s="159" t="s">
        <v>208</v>
      </c>
      <c r="C164" s="2">
        <v>0</v>
      </c>
      <c r="D164" s="2">
        <v>0</v>
      </c>
      <c r="E164" s="2">
        <f>205553.26+50000</f>
        <v>255553.26</v>
      </c>
      <c r="F164" s="2">
        <v>250000</v>
      </c>
      <c r="G164" s="2">
        <v>200000</v>
      </c>
      <c r="H164" s="8">
        <v>150000</v>
      </c>
    </row>
    <row r="165" spans="1:8" ht="24.75" thickBot="1">
      <c r="A165" s="160"/>
      <c r="B165" s="159" t="s">
        <v>209</v>
      </c>
      <c r="C165" s="2">
        <v>1035501</v>
      </c>
      <c r="D165" s="2">
        <v>527584</v>
      </c>
      <c r="E165" s="2">
        <f>1648300-205553+21732</f>
        <v>1464479</v>
      </c>
      <c r="F165" s="2">
        <f>1300000</f>
        <v>1300000</v>
      </c>
      <c r="G165" s="2">
        <f t="shared" ref="G165:H165" si="36">1300000</f>
        <v>1300000</v>
      </c>
      <c r="H165" s="8">
        <f t="shared" si="36"/>
        <v>1300000</v>
      </c>
    </row>
    <row r="166" spans="1:8" ht="12.75" thickBot="1">
      <c r="A166" s="135"/>
      <c r="B166" s="136" t="s">
        <v>211</v>
      </c>
      <c r="C166" s="137">
        <v>27173040</v>
      </c>
      <c r="D166" s="137">
        <f>D98+D114</f>
        <v>27812281.399999999</v>
      </c>
      <c r="E166" s="137">
        <f t="shared" ref="E166:H166" si="37">E98+E114</f>
        <v>45448948.359999999</v>
      </c>
      <c r="F166" s="137">
        <f t="shared" si="37"/>
        <v>44360411.549999997</v>
      </c>
      <c r="G166" s="137">
        <f t="shared" si="37"/>
        <v>43527531.549999997</v>
      </c>
      <c r="H166" s="138">
        <f t="shared" si="37"/>
        <v>43658131.549999997</v>
      </c>
    </row>
  </sheetData>
  <mergeCells count="2">
    <mergeCell ref="A4:H4"/>
    <mergeCell ref="A97:H97"/>
  </mergeCells>
  <printOptions horizontalCentered="1"/>
  <pageMargins left="0.39370078740157483" right="0" top="0.39370078740157483" bottom="0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RZiS</vt:lpstr>
      <vt:lpstr>Bilans</vt:lpstr>
    </vt:vector>
  </TitlesOfParts>
  <Company>Szpital Szamotuły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ksiegowa</dc:creator>
  <cp:lastModifiedBy>Mirosława Nowak</cp:lastModifiedBy>
  <cp:lastPrinted>2021-05-24T12:07:11Z</cp:lastPrinted>
  <dcterms:created xsi:type="dcterms:W3CDTF">2018-05-10T08:27:31Z</dcterms:created>
  <dcterms:modified xsi:type="dcterms:W3CDTF">2021-05-24T12:09:13Z</dcterms:modified>
</cp:coreProperties>
</file>