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rka\Starostwo\Raport 2023\Raport 2023\"/>
    </mc:Choice>
  </mc:AlternateContent>
  <xr:revisionPtr revIDLastSave="0" documentId="13_ncr:1_{799A318F-836E-46E9-BD4F-3E9B96E7E5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ZiS" sheetId="4" r:id="rId1"/>
    <sheet name="Aktualizacja" sheetId="5" r:id="rId2"/>
    <sheet name="Bilan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6" i="4" l="1"/>
  <c r="J15" i="4"/>
  <c r="I15" i="4"/>
  <c r="N19" i="3"/>
  <c r="M19" i="3"/>
  <c r="L19" i="3"/>
  <c r="K19" i="3"/>
  <c r="N16" i="3"/>
  <c r="M16" i="3"/>
  <c r="L16" i="3"/>
  <c r="K16" i="3"/>
  <c r="G19" i="3"/>
  <c r="G151" i="3"/>
  <c r="G16" i="3"/>
  <c r="G18" i="3"/>
  <c r="G17" i="3"/>
  <c r="F19" i="3"/>
  <c r="F18" i="3"/>
  <c r="F16" i="3"/>
  <c r="G69" i="3"/>
  <c r="F69" i="3"/>
  <c r="F11" i="3"/>
  <c r="E16" i="3"/>
  <c r="F164" i="3"/>
  <c r="F165" i="3"/>
  <c r="E165" i="3"/>
  <c r="G68" i="3"/>
  <c r="E68" i="3"/>
  <c r="F68" i="3"/>
  <c r="E69" i="3"/>
  <c r="E19" i="3"/>
  <c r="E18" i="3"/>
  <c r="E17" i="3"/>
  <c r="D165" i="3"/>
  <c r="D167" i="3"/>
  <c r="D168" i="3"/>
  <c r="D164" i="3"/>
  <c r="D113" i="3"/>
  <c r="D112" i="3"/>
  <c r="E32" i="4"/>
  <c r="E41" i="4"/>
  <c r="E36" i="4"/>
  <c r="F36" i="4"/>
  <c r="J36" i="4" s="1"/>
  <c r="D60" i="4"/>
  <c r="D43" i="4" l="1"/>
  <c r="D41" i="4"/>
  <c r="D37" i="4"/>
  <c r="D36" i="4" s="1"/>
  <c r="D29" i="4"/>
  <c r="E29" i="4"/>
  <c r="F29" i="4"/>
  <c r="D38" i="4"/>
  <c r="D32" i="4"/>
  <c r="D33" i="4"/>
  <c r="D30" i="4"/>
  <c r="D24" i="4"/>
  <c r="D21" i="4"/>
  <c r="D19" i="4" l="1"/>
  <c r="D51" i="4"/>
  <c r="D55" i="4"/>
  <c r="D11" i="4"/>
  <c r="C30" i="4" l="1"/>
  <c r="C36" i="4"/>
  <c r="C62" i="4"/>
  <c r="C55" i="4"/>
  <c r="C51" i="4"/>
  <c r="C52" i="4"/>
  <c r="C44" i="4"/>
  <c r="C43" i="4"/>
  <c r="C42" i="4"/>
  <c r="C41" i="4"/>
  <c r="C33" i="4"/>
  <c r="C24" i="4"/>
  <c r="C22" i="4"/>
  <c r="C21" i="4"/>
  <c r="C19" i="4"/>
  <c r="C11" i="4"/>
  <c r="C12" i="4"/>
  <c r="E42" i="5" l="1"/>
  <c r="E41" i="5"/>
  <c r="D41" i="5"/>
  <c r="D39" i="5"/>
  <c r="C39" i="5"/>
  <c r="F151" i="3"/>
  <c r="E151" i="3"/>
  <c r="E150" i="3" s="1"/>
  <c r="G157" i="3"/>
  <c r="F157" i="3"/>
  <c r="G130" i="3"/>
  <c r="F42" i="4"/>
  <c r="E42" i="4"/>
  <c r="D15" i="5"/>
  <c r="E15" i="5"/>
  <c r="D26" i="5"/>
  <c r="E26" i="5"/>
  <c r="C26" i="5"/>
  <c r="C15" i="5"/>
  <c r="D42" i="4"/>
  <c r="G164" i="3"/>
  <c r="G125" i="3"/>
  <c r="F125" i="3"/>
  <c r="E125" i="3"/>
  <c r="J45" i="3"/>
  <c r="K44" i="3"/>
  <c r="J44" i="3"/>
  <c r="K43" i="3"/>
  <c r="J43" i="3"/>
  <c r="J42" i="3"/>
  <c r="C28" i="5" l="1"/>
  <c r="C30" i="5" s="1"/>
  <c r="E28" i="5"/>
  <c r="E30" i="5" s="1"/>
  <c r="D28" i="5"/>
  <c r="D30" i="5" s="1"/>
  <c r="F168" i="3"/>
  <c r="F17" i="3"/>
  <c r="E164" i="3" l="1"/>
  <c r="E168" i="3"/>
  <c r="E72" i="3"/>
  <c r="D50" i="4" l="1"/>
  <c r="D44" i="4"/>
  <c r="F74" i="4" l="1"/>
  <c r="E74" i="4"/>
  <c r="D74" i="4"/>
  <c r="C74" i="4"/>
  <c r="F62" i="4"/>
  <c r="E62" i="4"/>
  <c r="D62" i="4"/>
  <c r="F57" i="4"/>
  <c r="E57" i="4"/>
  <c r="D57" i="4"/>
  <c r="C57" i="4"/>
  <c r="D54" i="4"/>
  <c r="F54" i="4"/>
  <c r="E54" i="4"/>
  <c r="C54" i="4"/>
  <c r="F50" i="4"/>
  <c r="E50" i="4"/>
  <c r="C50" i="4"/>
  <c r="E40" i="4"/>
  <c r="C40" i="4"/>
  <c r="F40" i="4"/>
  <c r="D40" i="4"/>
  <c r="C29" i="4"/>
  <c r="D25" i="4"/>
  <c r="F25" i="4"/>
  <c r="E25" i="4"/>
  <c r="C25" i="4"/>
  <c r="D18" i="4"/>
  <c r="F18" i="4"/>
  <c r="E18" i="4"/>
  <c r="F7" i="4"/>
  <c r="F5" i="4" s="1"/>
  <c r="E7" i="4"/>
  <c r="D7" i="4"/>
  <c r="C7" i="4"/>
  <c r="C5" i="4" s="1"/>
  <c r="G168" i="3"/>
  <c r="E166" i="3"/>
  <c r="G166" i="3"/>
  <c r="F166" i="3"/>
  <c r="D166" i="3"/>
  <c r="F163" i="3"/>
  <c r="G163" i="3"/>
  <c r="G162" i="3" s="1"/>
  <c r="G160" i="3" s="1"/>
  <c r="D163" i="3"/>
  <c r="G150" i="3"/>
  <c r="G146" i="3" s="1"/>
  <c r="G135" i="3" s="1"/>
  <c r="F150" i="3"/>
  <c r="F146" i="3" s="1"/>
  <c r="F135" i="3" s="1"/>
  <c r="E146" i="3"/>
  <c r="E135" i="3" s="1"/>
  <c r="D150" i="3"/>
  <c r="D146" i="3" s="1"/>
  <c r="G129" i="3"/>
  <c r="G126" i="3" s="1"/>
  <c r="F129" i="3"/>
  <c r="F126" i="3" s="1"/>
  <c r="E129" i="3"/>
  <c r="E126" i="3" s="1"/>
  <c r="D129" i="3"/>
  <c r="D126" i="3" s="1"/>
  <c r="G123" i="3"/>
  <c r="F123" i="3"/>
  <c r="E123" i="3"/>
  <c r="D123" i="3"/>
  <c r="G120" i="3"/>
  <c r="F120" i="3"/>
  <c r="E120" i="3"/>
  <c r="D120" i="3"/>
  <c r="G113" i="3"/>
  <c r="F113" i="3"/>
  <c r="E113" i="3"/>
  <c r="E112" i="3"/>
  <c r="G86" i="3"/>
  <c r="G75" i="3" s="1"/>
  <c r="G74" i="3" s="1"/>
  <c r="F86" i="3"/>
  <c r="F75" i="3" s="1"/>
  <c r="F74" i="3" s="1"/>
  <c r="E86" i="3"/>
  <c r="E75" i="3" s="1"/>
  <c r="E74" i="3" s="1"/>
  <c r="D86" i="3"/>
  <c r="D75" i="3" s="1"/>
  <c r="D74" i="3" s="1"/>
  <c r="D68" i="3"/>
  <c r="G50" i="3"/>
  <c r="F50" i="3"/>
  <c r="E50" i="3"/>
  <c r="D50" i="3"/>
  <c r="G14" i="3"/>
  <c r="G13" i="3" s="1"/>
  <c r="F14" i="3"/>
  <c r="F13" i="3" s="1"/>
  <c r="D14" i="3"/>
  <c r="D13" i="3" s="1"/>
  <c r="G8" i="3"/>
  <c r="F8" i="3"/>
  <c r="E8" i="3"/>
  <c r="D8" i="3"/>
  <c r="E5" i="4" l="1"/>
  <c r="D5" i="4"/>
  <c r="D67" i="3"/>
  <c r="D56" i="3" s="1"/>
  <c r="D49" i="3" s="1"/>
  <c r="D135" i="3"/>
  <c r="K42" i="3"/>
  <c r="F67" i="3"/>
  <c r="F56" i="3" s="1"/>
  <c r="F49" i="3" s="1"/>
  <c r="G67" i="3"/>
  <c r="G56" i="3" s="1"/>
  <c r="G49" i="3" s="1"/>
  <c r="E67" i="3"/>
  <c r="E56" i="3" s="1"/>
  <c r="E49" i="3" s="1"/>
  <c r="F118" i="3"/>
  <c r="F7" i="3"/>
  <c r="E118" i="3"/>
  <c r="D162" i="3"/>
  <c r="D160" i="3" s="1"/>
  <c r="D118" i="3"/>
  <c r="E48" i="4"/>
  <c r="F48" i="4"/>
  <c r="F88" i="4" s="1"/>
  <c r="E17" i="4"/>
  <c r="E15" i="4" s="1"/>
  <c r="E89" i="4" s="1"/>
  <c r="C48" i="4"/>
  <c r="C88" i="4" s="1"/>
  <c r="G7" i="3"/>
  <c r="E14" i="3"/>
  <c r="E13" i="3" s="1"/>
  <c r="E7" i="3" s="1"/>
  <c r="G118" i="3"/>
  <c r="F162" i="3"/>
  <c r="F160" i="3" s="1"/>
  <c r="D7" i="3"/>
  <c r="E163" i="3"/>
  <c r="E162" i="3" s="1"/>
  <c r="E160" i="3" s="1"/>
  <c r="D110" i="3"/>
  <c r="D101" i="3" s="1"/>
  <c r="C18" i="4"/>
  <c r="C17" i="4" s="1"/>
  <c r="F17" i="4"/>
  <c r="F15" i="4" s="1"/>
  <c r="F89" i="4" s="1"/>
  <c r="D48" i="4"/>
  <c r="D17" i="4"/>
  <c r="E88" i="4"/>
  <c r="F112" i="3"/>
  <c r="E110" i="3"/>
  <c r="E101" i="3" s="1"/>
  <c r="L7" i="4" l="1"/>
  <c r="D15" i="4"/>
  <c r="D89" i="4" s="1"/>
  <c r="H21" i="4"/>
  <c r="C15" i="4"/>
  <c r="C89" i="4" s="1"/>
  <c r="I7" i="4"/>
  <c r="I10" i="4"/>
  <c r="L10" i="4"/>
  <c r="F94" i="3"/>
  <c r="M7" i="3" s="1"/>
  <c r="K10" i="4"/>
  <c r="K7" i="4"/>
  <c r="J10" i="4"/>
  <c r="J7" i="4"/>
  <c r="D88" i="4"/>
  <c r="N13" i="3"/>
  <c r="N10" i="3"/>
  <c r="G117" i="3"/>
  <c r="K13" i="3"/>
  <c r="K10" i="3"/>
  <c r="L24" i="3"/>
  <c r="M22" i="3"/>
  <c r="L13" i="3"/>
  <c r="L10" i="3"/>
  <c r="K24" i="3"/>
  <c r="M13" i="3"/>
  <c r="M10" i="3"/>
  <c r="D117" i="3"/>
  <c r="K45" i="3" s="1"/>
  <c r="F117" i="3"/>
  <c r="G94" i="3"/>
  <c r="N7" i="3" s="1"/>
  <c r="E117" i="3"/>
  <c r="E169" i="3" s="1"/>
  <c r="E94" i="3"/>
  <c r="L7" i="3" s="1"/>
  <c r="D94" i="3"/>
  <c r="K22" i="3" s="1"/>
  <c r="F47" i="4"/>
  <c r="F61" i="4" s="1"/>
  <c r="E47" i="4"/>
  <c r="E61" i="4" s="1"/>
  <c r="G112" i="3"/>
  <c r="G110" i="3" s="1"/>
  <c r="G101" i="3" s="1"/>
  <c r="N24" i="3" s="1"/>
  <c r="F110" i="3"/>
  <c r="F101" i="3" s="1"/>
  <c r="D169" i="3" l="1"/>
  <c r="D174" i="3" s="1"/>
  <c r="D47" i="4"/>
  <c r="D61" i="4" s="1"/>
  <c r="D81" i="4" s="1"/>
  <c r="D84" i="4" s="1"/>
  <c r="J8" i="4" s="1"/>
  <c r="C47" i="4"/>
  <c r="C61" i="4" s="1"/>
  <c r="C81" i="4" s="1"/>
  <c r="C84" i="4" s="1"/>
  <c r="I8" i="4" s="1"/>
  <c r="F171" i="3"/>
  <c r="F81" i="4"/>
  <c r="F84" i="4" s="1"/>
  <c r="L8" i="4" s="1"/>
  <c r="L11" i="4"/>
  <c r="E81" i="4"/>
  <c r="E84" i="4" s="1"/>
  <c r="K8" i="4" s="1"/>
  <c r="K11" i="4"/>
  <c r="G169" i="3"/>
  <c r="F169" i="3"/>
  <c r="M24" i="3"/>
  <c r="L22" i="3"/>
  <c r="N22" i="3"/>
  <c r="G171" i="3"/>
  <c r="D171" i="3"/>
  <c r="K7" i="3"/>
  <c r="E171" i="3"/>
  <c r="E174" i="3" s="1"/>
  <c r="F174" i="3" l="1"/>
  <c r="J11" i="4"/>
  <c r="I11" i="4"/>
  <c r="G174" i="3"/>
</calcChain>
</file>

<file path=xl/sharedStrings.xml><?xml version="1.0" encoding="utf-8"?>
<sst xmlns="http://schemas.openxmlformats.org/spreadsheetml/2006/main" count="535" uniqueCount="399">
  <si>
    <t>KOD</t>
  </si>
  <si>
    <t xml:space="preserve">Wyszczególnienie </t>
  </si>
  <si>
    <t>AKTYWA</t>
  </si>
  <si>
    <t>A.</t>
  </si>
  <si>
    <t>Aktywa trwałe</t>
  </si>
  <si>
    <t>A.I.</t>
  </si>
  <si>
    <t>Wartości niematerialne i prawne</t>
  </si>
  <si>
    <t>A.I.1.</t>
  </si>
  <si>
    <t>Koszty zakończonych prac rozwojowych</t>
  </si>
  <si>
    <t>A.I.2.</t>
  </si>
  <si>
    <t>Wartość firmy</t>
  </si>
  <si>
    <t>A.I.3.</t>
  </si>
  <si>
    <t>Inne wartości niematerialne i prawne</t>
  </si>
  <si>
    <t>A.I.4.</t>
  </si>
  <si>
    <t>Zaliczki na wartości niematerialne i prawne</t>
  </si>
  <si>
    <t>A.II.</t>
  </si>
  <si>
    <t>Rzeczowe aktywa trwałe</t>
  </si>
  <si>
    <t>A.II.1.</t>
  </si>
  <si>
    <t>Środki trwałe</t>
  </si>
  <si>
    <t>A.II.1.a</t>
  </si>
  <si>
    <t>grunty (w tym prawo użytkowania wieczystego gruntu)</t>
  </si>
  <si>
    <t>A.II.1.b</t>
  </si>
  <si>
    <t>budynki, lokale, prawa do lokali  i obiekty inżynierii lądowej i wodnej</t>
  </si>
  <si>
    <t>A.II.1.c</t>
  </si>
  <si>
    <t>urządzenia techniczne i maszyny</t>
  </si>
  <si>
    <t>A.II.1.d</t>
  </si>
  <si>
    <t>środki transportu</t>
  </si>
  <si>
    <t>A.II.1.e</t>
  </si>
  <si>
    <t>inne środki trwałe</t>
  </si>
  <si>
    <t>A.II.2.</t>
  </si>
  <si>
    <t>Środki trwałe w budowie</t>
  </si>
  <si>
    <t>A.II.3.</t>
  </si>
  <si>
    <t>Zaliczki na środki trwałe w budowie</t>
  </si>
  <si>
    <t>A.III.</t>
  </si>
  <si>
    <t>Należności długoterminowe</t>
  </si>
  <si>
    <t>A.III.1.</t>
  </si>
  <si>
    <t>Od  jednostek powiązanych</t>
  </si>
  <si>
    <t>A.III.2.</t>
  </si>
  <si>
    <t>Od pozostałych jednostek, w których jednostka posiada zaangażowanie w kapitale</t>
  </si>
  <si>
    <t>A.III.3.</t>
  </si>
  <si>
    <t xml:space="preserve">Od pozostałych jednostek </t>
  </si>
  <si>
    <t>A.IV.</t>
  </si>
  <si>
    <t>Inwestycje długoterminowe</t>
  </si>
  <si>
    <t>A.IV.1.</t>
  </si>
  <si>
    <t>Nieruchomości</t>
  </si>
  <si>
    <t>A.IV.2.</t>
  </si>
  <si>
    <t>A.IV.3.</t>
  </si>
  <si>
    <t>Długoterminowe aktywa finansowe</t>
  </si>
  <si>
    <t>A.IV.3.a</t>
  </si>
  <si>
    <t>w jednostkach powiązanych</t>
  </si>
  <si>
    <t>A.IV.3.a.-</t>
  </si>
  <si>
    <t>udziały lub akcje</t>
  </si>
  <si>
    <t>inne papiery wartościowe</t>
  </si>
  <si>
    <t>udzielone pożyczki</t>
  </si>
  <si>
    <t>inne długoterminowe aktywa finansowe</t>
  </si>
  <si>
    <t>A.IV.3.b.</t>
  </si>
  <si>
    <t>w pozostałych jednostkach, w których jednostka posiada zaangażowanie w kapitale</t>
  </si>
  <si>
    <t>A.IV.3.b.-</t>
  </si>
  <si>
    <t>A.IV.3.c.</t>
  </si>
  <si>
    <t>w pozostałych jednostkach</t>
  </si>
  <si>
    <t>A.IV.3.c.-</t>
  </si>
  <si>
    <t>A.IV.4.</t>
  </si>
  <si>
    <t>Inne inwestycje długoterminowe</t>
  </si>
  <si>
    <t>A.V.</t>
  </si>
  <si>
    <t>Długoterminowe rozliczenia międzyokresowe</t>
  </si>
  <si>
    <t>A.V.1.</t>
  </si>
  <si>
    <t>Aktywa z tytułu odroczonego podatku dochodowego</t>
  </si>
  <si>
    <t>A.V.2.</t>
  </si>
  <si>
    <t>Inne rozliczenia międzyokresowe</t>
  </si>
  <si>
    <t>B.</t>
  </si>
  <si>
    <t>Aktywa obrotowe</t>
  </si>
  <si>
    <t>B.I.</t>
  </si>
  <si>
    <t>Zapasy</t>
  </si>
  <si>
    <t>B.I.1.</t>
  </si>
  <si>
    <t>Materiały</t>
  </si>
  <si>
    <t>B.I.2.</t>
  </si>
  <si>
    <t>Półprodukty i produkty w toku</t>
  </si>
  <si>
    <t>B.I.3.</t>
  </si>
  <si>
    <t>Produkty gotowe</t>
  </si>
  <si>
    <t>B.I.4.</t>
  </si>
  <si>
    <t>Towary</t>
  </si>
  <si>
    <t>B.I.5.</t>
  </si>
  <si>
    <t>Zaliczki na dostawy i usługi</t>
  </si>
  <si>
    <t>B.II.</t>
  </si>
  <si>
    <t>Należności krótkoterminowe</t>
  </si>
  <si>
    <t>B.II.1.</t>
  </si>
  <si>
    <t>Należności od jednostek powiązanych</t>
  </si>
  <si>
    <t>B.II.1.a.</t>
  </si>
  <si>
    <t>z tytułu dostaw i usług, o okresie spłaty</t>
  </si>
  <si>
    <t>B.II.1.a.-</t>
  </si>
  <si>
    <t>do 12 miesięcy</t>
  </si>
  <si>
    <t>powyżej 12 miesięcy</t>
  </si>
  <si>
    <t>B.II.1.b.</t>
  </si>
  <si>
    <t>inne</t>
  </si>
  <si>
    <t>B.II.2.</t>
  </si>
  <si>
    <t>Należności od pozostałych jednostek, w których jednostka posiada zaangażowanie w kapitale</t>
  </si>
  <si>
    <t>B.II.2.a.</t>
  </si>
  <si>
    <t>z tytułu dostaw i usług, o okresie spłaty:</t>
  </si>
  <si>
    <t>B.II.2.a.-</t>
  </si>
  <si>
    <t>B.II.2.b.</t>
  </si>
  <si>
    <t>B.II.3.</t>
  </si>
  <si>
    <t>Należności od pozostałych jednostek</t>
  </si>
  <si>
    <t>B.II.3.a.</t>
  </si>
  <si>
    <t>B.II.3.a.-</t>
  </si>
  <si>
    <t>B.II.3.b.</t>
  </si>
  <si>
    <t>z tytułu podatków, dotacji, ceł, ubezpieczeń społecznych i zdrowotnych oraz innych tytułów publicznoprawnych</t>
  </si>
  <si>
    <t>B.II.3.c.</t>
  </si>
  <si>
    <t>B.II.3.d.</t>
  </si>
  <si>
    <t>dochodzone na drodze sądowej</t>
  </si>
  <si>
    <t>B.III.</t>
  </si>
  <si>
    <t>Inwestycje krótkoterminowe</t>
  </si>
  <si>
    <t>B.III.1.</t>
  </si>
  <si>
    <t>Krótkoterminowe aktywa finansowe</t>
  </si>
  <si>
    <t>B.III.1.a.</t>
  </si>
  <si>
    <t>B.III.1.a.-</t>
  </si>
  <si>
    <t>inne krótkoterminowe aktywa finansowe</t>
  </si>
  <si>
    <t>B.III.1.b.</t>
  </si>
  <si>
    <t>B.III.1.b.-</t>
  </si>
  <si>
    <t>B.III.1.c.</t>
  </si>
  <si>
    <t>środki pieniężne i inne aktywa pieniężne</t>
  </si>
  <si>
    <t>B.III.1.c.-</t>
  </si>
  <si>
    <t>środki pieniężne w kasie i na rachunkach</t>
  </si>
  <si>
    <t>inne środki pieniężne</t>
  </si>
  <si>
    <t xml:space="preserve">B.III.1.c.- </t>
  </si>
  <si>
    <t>inne aktywa pieniężne</t>
  </si>
  <si>
    <t>B.III.2.</t>
  </si>
  <si>
    <t>Inne inwestycje krótkoterminowe</t>
  </si>
  <si>
    <t>B.IV.</t>
  </si>
  <si>
    <t>Krótkoterminowe rozliczenia międzyokresowe</t>
  </si>
  <si>
    <t>C.</t>
  </si>
  <si>
    <t>Należne wpłaty na ka[pitał (fundusz) podstawowy</t>
  </si>
  <si>
    <t>D.</t>
  </si>
  <si>
    <t>Udziały (akcje) własne</t>
  </si>
  <si>
    <t>RAZEM  AKTYWA</t>
  </si>
  <si>
    <t>PASYWA</t>
  </si>
  <si>
    <t>Kapitał (fundusz) własny</t>
  </si>
  <si>
    <t>Kapitał (fundusz) podstawowy</t>
  </si>
  <si>
    <t xml:space="preserve">A.II. </t>
  </si>
  <si>
    <t>A.II.-</t>
  </si>
  <si>
    <t>nadwyżka wartości sprzedaży (wartości emisyjnej)  nad wartością nominalną udziałów (akcji)</t>
  </si>
  <si>
    <t>A.III.-</t>
  </si>
  <si>
    <t>z tytułu aktualizacji wartości godziwej</t>
  </si>
  <si>
    <t>A.IV.-</t>
  </si>
  <si>
    <t>tworzone zgodnie z umową (statutem) spółki</t>
  </si>
  <si>
    <t>na udziały (akcje) własne</t>
  </si>
  <si>
    <t>Zysk (strata) z lat ubiegłych</t>
  </si>
  <si>
    <t>Zysk (wielkość dodatnia)</t>
  </si>
  <si>
    <t>Strata (wielkość ujemna)</t>
  </si>
  <si>
    <t>A.VI.</t>
  </si>
  <si>
    <t>Zysk (strata) netto</t>
  </si>
  <si>
    <t>A.VI.1.</t>
  </si>
  <si>
    <t>A.VI.2.</t>
  </si>
  <si>
    <t>A.VII.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</si>
  <si>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</si>
  <si>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</si>
  <si>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</si>
  <si>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</si>
  <si>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</si>
  <si>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B.I.2.-</t>
  </si>
  <si>
    <t>długoterminowa</t>
  </si>
  <si>
    <t>krótkoterminowa</t>
  </si>
  <si>
    <t>Pozostałe rezerwy</t>
  </si>
  <si>
    <t>B.I.3.-</t>
  </si>
  <si>
    <t>długoterminowe</t>
  </si>
  <si>
    <t>krótkoterminowe</t>
  </si>
  <si>
    <t>Zobowiązania długoterminowe</t>
  </si>
  <si>
    <t>Wobec jednostek powiązanych</t>
  </si>
  <si>
    <t>Wobec pozostałych jednostek, w których jednostka posiada zaangażowanie w kapitale</t>
  </si>
  <si>
    <t>Wobec pozostałych jednostek</t>
  </si>
  <si>
    <t>kredyty i pożyczki</t>
  </si>
  <si>
    <t>z tytułu emisji dłużnych papierów wartościowych</t>
  </si>
  <si>
    <t>inne zobowiązania finansowe</t>
  </si>
  <si>
    <t>zobowiązania wekslowe</t>
  </si>
  <si>
    <t>B.II.3.e.</t>
  </si>
  <si>
    <t>Zobowiązania krótkoterminowe</t>
  </si>
  <si>
    <t>Zobowiązania wobec jednostek powiązanych</t>
  </si>
  <si>
    <t>z tytułu dostaw i usług, o okresie wymagalności:</t>
  </si>
  <si>
    <t>Zobowiązania wobec pozostałych jednostek, w których jednostka posiada zaangażowanie w kapitale</t>
  </si>
  <si>
    <t>B.III.2.a</t>
  </si>
  <si>
    <t>B.III.2.a.-</t>
  </si>
  <si>
    <t>B.III.2.b.</t>
  </si>
  <si>
    <t>B.III.3.</t>
  </si>
  <si>
    <t>Zobowiązania wobec pozostałych jednostek</t>
  </si>
  <si>
    <t>B.III.3.a.</t>
  </si>
  <si>
    <t>B.III.3.b.</t>
  </si>
  <si>
    <t>B.III.3.c.</t>
  </si>
  <si>
    <t>B.III.3.d.</t>
  </si>
  <si>
    <t>B.III.3.d.-</t>
  </si>
  <si>
    <t>B.III.3.d.-.</t>
  </si>
  <si>
    <t>B.III.3.e.</t>
  </si>
  <si>
    <t>zaliczki otrzymane na dostawy i usługi</t>
  </si>
  <si>
    <t>B.III.3.f.</t>
  </si>
  <si>
    <t>B.III.3.g.</t>
  </si>
  <si>
    <t>z tytułu podatków, ceł, ubezpieczeń społecznych i zdrowotnych oraz innych tytułów publicznoprawnych</t>
  </si>
  <si>
    <t>B.III.3.h.</t>
  </si>
  <si>
    <t>z tytułu wynagrodzeń</t>
  </si>
  <si>
    <t>B.III.3.i.</t>
  </si>
  <si>
    <t>B.III.4.</t>
  </si>
  <si>
    <t>Fundusze specjalne</t>
  </si>
  <si>
    <t>B.III.4.-</t>
  </si>
  <si>
    <t>w tym zakładowy fundusz świadczeń socjalnych (ZFŚS)</t>
  </si>
  <si>
    <t>Rozliczenia międzyokresowe</t>
  </si>
  <si>
    <t>B.IV.1.</t>
  </si>
  <si>
    <t>Ujemna wartość firmy</t>
  </si>
  <si>
    <t>B.IV.2.</t>
  </si>
  <si>
    <t>B.IV.2.-</t>
  </si>
  <si>
    <t>długoterminowe, w tym:</t>
  </si>
  <si>
    <t>- dotacje z budżetu państwa</t>
  </si>
  <si>
    <t>- dotacje z budżetu jednostki samorządu terytorialnego</t>
  </si>
  <si>
    <t>krótkoterminowe, w tym:</t>
  </si>
  <si>
    <t>RAZEM  PASYWA</t>
  </si>
  <si>
    <t>B I L A N S</t>
  </si>
  <si>
    <r>
      <t>Kapitał (fundusz)  zapasowy,</t>
    </r>
    <r>
      <rPr>
        <sz val="9"/>
        <rFont val="Arial"/>
        <family val="2"/>
        <charset val="238"/>
      </rPr>
      <t xml:space="preserve"> w tym:</t>
    </r>
  </si>
  <si>
    <r>
      <t xml:space="preserve">Kapitał (fundusz) z aktualizacji wyceny, </t>
    </r>
    <r>
      <rPr>
        <sz val="9"/>
        <rFont val="Arial"/>
        <family val="2"/>
        <charset val="238"/>
      </rPr>
      <t>w tym:</t>
    </r>
  </si>
  <si>
    <r>
      <t>Pozostałe kapitały (fundusze) rezerwowe</t>
    </r>
    <r>
      <rPr>
        <sz val="9"/>
        <rFont val="Arial"/>
        <family val="2"/>
        <charset val="238"/>
      </rPr>
      <t>, w tym:</t>
    </r>
  </si>
  <si>
    <r>
      <t xml:space="preserve"> Przychody netto ze sprzedaży i zrównane z nimi, </t>
    </r>
    <r>
      <rPr>
        <sz val="9"/>
        <rFont val="Arial"/>
        <family val="2"/>
        <charset val="238"/>
      </rPr>
      <t>w tym:</t>
    </r>
  </si>
  <si>
    <t>-</t>
  </si>
  <si>
    <t>od jednostek powiązanych</t>
  </si>
  <si>
    <t>A.l.</t>
  </si>
  <si>
    <t>Przychody netto ze sprzedaży produktów</t>
  </si>
  <si>
    <t>zyskown netto</t>
  </si>
  <si>
    <t>sprzedanych NFZ</t>
  </si>
  <si>
    <t>sprzedanych Ministerstwu Zdrowia</t>
  </si>
  <si>
    <t>sprzedanych pracodawcom</t>
  </si>
  <si>
    <t>zyskown z dział</t>
  </si>
  <si>
    <t>pozostałych</t>
  </si>
  <si>
    <t>operacyjn</t>
  </si>
  <si>
    <t>Zmiana stanu produktów (zwiększenie –wartość dodatnia, zmniejszenie –wartość ujemna)</t>
  </si>
  <si>
    <t xml:space="preserve"> Koszty wytworzenia produktów na własne potrzeby jednostki</t>
  </si>
  <si>
    <t xml:space="preserve"> Przychody netto ze sprzedaży towarów i materiałów</t>
  </si>
  <si>
    <t xml:space="preserve"> Koszty działalności operacyjnej</t>
  </si>
  <si>
    <t>B.l.</t>
  </si>
  <si>
    <t xml:space="preserve"> Amortyzacja</t>
  </si>
  <si>
    <t xml:space="preserve"> Zużycie materiałów i energii</t>
  </si>
  <si>
    <t>B.II.1</t>
  </si>
  <si>
    <t xml:space="preserve"> Materiałów</t>
  </si>
  <si>
    <t>- leków</t>
  </si>
  <si>
    <t>- żywności</t>
  </si>
  <si>
    <t>B.II.1.c.</t>
  </si>
  <si>
    <t>- sprzętu jednorazowego</t>
  </si>
  <si>
    <t>B.II.1.d.</t>
  </si>
  <si>
    <t>- odczynników chemicznych i materiałów diagnostycznych</t>
  </si>
  <si>
    <t>B.II.1.e.</t>
  </si>
  <si>
    <t xml:space="preserve">- paliwa </t>
  </si>
  <si>
    <t>B.II.1.f.</t>
  </si>
  <si>
    <t>- pozostałe</t>
  </si>
  <si>
    <t xml:space="preserve"> Energii</t>
  </si>
  <si>
    <t>B.II.2.a</t>
  </si>
  <si>
    <t>- elektrycznej</t>
  </si>
  <si>
    <t>- cieplnej</t>
  </si>
  <si>
    <t>B.II.2.c.</t>
  </si>
  <si>
    <t xml:space="preserve"> Usługi obce</t>
  </si>
  <si>
    <t>remontowe</t>
  </si>
  <si>
    <t>transportowe</t>
  </si>
  <si>
    <t>medyczne obce (umowy cywilno-prawne, prace wykonane przez laboratoria itp.)</t>
  </si>
  <si>
    <t>pozostałe usługi</t>
  </si>
  <si>
    <t xml:space="preserve"> Podatki i opłaty</t>
  </si>
  <si>
    <t>w tym  podatek akcyzowy</t>
  </si>
  <si>
    <t>B.V.</t>
  </si>
  <si>
    <t xml:space="preserve"> Wynagrodzenia</t>
  </si>
  <si>
    <t>B.V.1.</t>
  </si>
  <si>
    <t>wynagrodzenia ze stosunku pracy</t>
  </si>
  <si>
    <t>B.V.2.</t>
  </si>
  <si>
    <t>wynagrodzenia z umów zleceń i o dzieło</t>
  </si>
  <si>
    <t>B.V.3.</t>
  </si>
  <si>
    <t>wynagrodzenia pozostałe</t>
  </si>
  <si>
    <t>B.VI.</t>
  </si>
  <si>
    <r>
      <t xml:space="preserve"> Ubezpieczenia społeczne i inne świadczenia, </t>
    </r>
    <r>
      <rPr>
        <sz val="9"/>
        <rFont val="Arial"/>
        <family val="2"/>
        <charset val="238"/>
      </rPr>
      <t>w tym:</t>
    </r>
  </si>
  <si>
    <t>- składki na ubezpieczenia społeczne</t>
  </si>
  <si>
    <t>- składki na fundusz pracy</t>
  </si>
  <si>
    <t xml:space="preserve"> - składki na Fundusz Emerytur Pomostowych</t>
  </si>
  <si>
    <t>B.VII.</t>
  </si>
  <si>
    <t xml:space="preserve"> Pozostałe koszty rodzajowe</t>
  </si>
  <si>
    <t xml:space="preserve"> - w tym podróże służbowe</t>
  </si>
  <si>
    <t>B.VIII.</t>
  </si>
  <si>
    <t xml:space="preserve"> Wartość sprzedanych towarów i materiałów</t>
  </si>
  <si>
    <t xml:space="preserve"> Zysk (strata) ze sprzedaży (A–B)</t>
  </si>
  <si>
    <t xml:space="preserve"> Pozostałe przychody operacyjne</t>
  </si>
  <si>
    <t>D.l.</t>
  </si>
  <si>
    <t xml:space="preserve"> Zysk z tytułu rozchodu niefinansowych aktywów trwałych</t>
  </si>
  <si>
    <t>D.II.</t>
  </si>
  <si>
    <r>
      <t xml:space="preserve"> Dotacje, </t>
    </r>
    <r>
      <rPr>
        <sz val="9"/>
        <rFont val="Arial"/>
        <family val="2"/>
        <charset val="238"/>
      </rPr>
      <t>w tym:</t>
    </r>
  </si>
  <si>
    <t>- dotacje  z jednostek samorządu terytorialnego</t>
  </si>
  <si>
    <t xml:space="preserve">D.III. </t>
  </si>
  <si>
    <t>Aktualizacja wartości aktywów niefinansowych</t>
  </si>
  <si>
    <t xml:space="preserve">D.IV. </t>
  </si>
  <si>
    <r>
      <t xml:space="preserve">Inne przychody operacyjne, </t>
    </r>
    <r>
      <rPr>
        <sz val="9"/>
        <rFont val="Arial"/>
        <family val="2"/>
        <charset val="238"/>
      </rPr>
      <t>w tym:</t>
    </r>
  </si>
  <si>
    <t>- inne (odszkodowania, PFRON,darowizny i inne)</t>
  </si>
  <si>
    <t>- równowartość rocznych odpisów amortyzacyjnych  środków trwałych oraz wartości niematerialnych i prawnych sfinansowanych z dotacji celowych</t>
  </si>
  <si>
    <t>E.</t>
  </si>
  <si>
    <t xml:space="preserve"> Pozostałe koszty operacyjne</t>
  </si>
  <si>
    <t>E.l.</t>
  </si>
  <si>
    <t xml:space="preserve"> Strata ze zbycia niefinansowych aktywów trwałych</t>
  </si>
  <si>
    <t>E.II.</t>
  </si>
  <si>
    <t xml:space="preserve"> Aktualizacja wartości aktywów niefinansowych</t>
  </si>
  <si>
    <t>E.III.</t>
  </si>
  <si>
    <t xml:space="preserve"> Inne koszty operacyjne</t>
  </si>
  <si>
    <t>F.</t>
  </si>
  <si>
    <t xml:space="preserve"> Zysk (strata) z działalności operacyjnej (C+D–E)</t>
  </si>
  <si>
    <t>G.</t>
  </si>
  <si>
    <t xml:space="preserve"> Przychody finansowe</t>
  </si>
  <si>
    <t>G.l.</t>
  </si>
  <si>
    <t xml:space="preserve"> Dywidendy i udziały w zyskach, w tym:</t>
  </si>
  <si>
    <t>G.I.a.</t>
  </si>
  <si>
    <t>G.I.a.-</t>
  </si>
  <si>
    <t>w których jednostka posiada zaangażowanie w kapitale</t>
  </si>
  <si>
    <t>G.I.b.</t>
  </si>
  <si>
    <t>od jednostek pozostałych, w tym:</t>
  </si>
  <si>
    <t>G.I.b.-</t>
  </si>
  <si>
    <t>G.II.</t>
  </si>
  <si>
    <t xml:space="preserve"> Odsetki</t>
  </si>
  <si>
    <t>G.II.-</t>
  </si>
  <si>
    <t>w tym od jednostek powiązanych</t>
  </si>
  <si>
    <t>G.III.</t>
  </si>
  <si>
    <t xml:space="preserve"> Zysk z tytułu rozchodu aktywów finansowych, w tym:</t>
  </si>
  <si>
    <t>G.III.-</t>
  </si>
  <si>
    <t>G.IV.</t>
  </si>
  <si>
    <t xml:space="preserve"> Aktualizacja wartości aktywów finansowych</t>
  </si>
  <si>
    <t>G.V.</t>
  </si>
  <si>
    <t xml:space="preserve"> Inne</t>
  </si>
  <si>
    <t>H.</t>
  </si>
  <si>
    <t xml:space="preserve"> Koszty finansowe</t>
  </si>
  <si>
    <t>H.I.</t>
  </si>
  <si>
    <t xml:space="preserve"> Odsetki, w tym:</t>
  </si>
  <si>
    <t>H.I.-</t>
  </si>
  <si>
    <t>dla jednostek powiązanych</t>
  </si>
  <si>
    <t>H.II.</t>
  </si>
  <si>
    <r>
      <t xml:space="preserve"> Strata z tytułu rozchodu aktywów finansowych, </t>
    </r>
    <r>
      <rPr>
        <sz val="9"/>
        <rFont val="Arial"/>
        <family val="2"/>
        <charset val="238"/>
      </rPr>
      <t>w tym:</t>
    </r>
  </si>
  <si>
    <t>H.II.-</t>
  </si>
  <si>
    <t>H.III.</t>
  </si>
  <si>
    <t>H.IV.</t>
  </si>
  <si>
    <t>I.</t>
  </si>
  <si>
    <t xml:space="preserve"> Zysk (strata) brutto (F+G-H)</t>
  </si>
  <si>
    <t>J.</t>
  </si>
  <si>
    <t xml:space="preserve"> Podatek dochodowy</t>
  </si>
  <si>
    <t>K.</t>
  </si>
  <si>
    <t xml:space="preserve"> Pozostałe obowiązkowe zmniejszenia zysku (zwiększenia straty)</t>
  </si>
  <si>
    <t>L.</t>
  </si>
  <si>
    <t xml:space="preserve"> Zysk (strata) netto (I-J-K)</t>
  </si>
  <si>
    <t>Lp.</t>
  </si>
  <si>
    <t>Suma Przychodów</t>
  </si>
  <si>
    <t>Suma Kosztów</t>
  </si>
  <si>
    <t>RACHUNEK ZYSKÓW I STRAT</t>
  </si>
  <si>
    <t>zyskowność aktywów</t>
  </si>
  <si>
    <t>płynności bieżacej</t>
  </si>
  <si>
    <t>Płynności szybkiej</t>
  </si>
  <si>
    <t>wsk rotacji należności w dniach</t>
  </si>
  <si>
    <t>Rotacja zobowiąz w dniach</t>
  </si>
  <si>
    <t>zadłużenie aktywów w %</t>
  </si>
  <si>
    <t>wsk wypłacalności</t>
  </si>
  <si>
    <t>Lp</t>
  </si>
  <si>
    <t>Treść</t>
  </si>
  <si>
    <t>PRZYCHODY</t>
  </si>
  <si>
    <t>Wzrost kontraktu z NFZ w II półroczu z przeznaczeniem na ustawowe podwyżki wynagrodzeń</t>
  </si>
  <si>
    <t>KOSZTY</t>
  </si>
  <si>
    <t>Razem</t>
  </si>
  <si>
    <t>Umowy cywilno-prawne -wzrost w I półroczu (COVID)</t>
  </si>
  <si>
    <t>Wzrost wynagrodzeń ze stosunku pracy w I półroczu (COVID)</t>
  </si>
  <si>
    <t>Wzrost wynagrodzeń ze stosunku pracy w II półroczu (realizacja ustawowych podwyżek)</t>
  </si>
  <si>
    <t>Narzut na wynagrodzenia z ustawowej podwyżki</t>
  </si>
  <si>
    <t>Umowy cywilno-prawne -wzrost w II półroczu - realizacja ustawowych podwyżek</t>
  </si>
  <si>
    <t>Umowy zlecenia - wzrost wynagrodzeń w II półroczu z tyt ustawowej podwyżki</t>
  </si>
  <si>
    <t>Korekta pozycji: inne przychody operacyjne - rozwiązanie rezerwy utworzonej na roszczenia sądowe</t>
  </si>
  <si>
    <t>Odsetki otrzymane - korekta</t>
  </si>
  <si>
    <t>Korekta - pozostałe koszty operacyjne - zasądzone zadośćuczynienie w sprawie sądowej</t>
  </si>
  <si>
    <t>Korekta - koszty finansowe- naliczone odsetki w zakończonej sprawie  sądowej (błędy medyczne)</t>
  </si>
  <si>
    <t>Razem:</t>
  </si>
  <si>
    <t>Różnica (wzrost przychodów +, wzrost kosztów -)</t>
  </si>
  <si>
    <t>Wynik finansowy w pierwotnym raporcie dotyczącym sytuacji ekonomiczno-finansowej sporządzonym w maju 2022 r</t>
  </si>
  <si>
    <t>Rachunek Zysków i Strat po aktualizacji</t>
  </si>
  <si>
    <t>Wzrost kontraktu z NFZ w I półroczu w stosunku do planu (COVID)</t>
  </si>
  <si>
    <t>ROK</t>
  </si>
  <si>
    <t>Usługi remontowe sprzętu medycznego- wzrost kosztów wstosunku do planu (części do laparoskopu)</t>
  </si>
  <si>
    <t>wartość w zł</t>
  </si>
  <si>
    <t>Aktualizacja danych ujętych w Raporcie ekonomiczno-finansowym sporządzonym na dzień 31.05.2022 r</t>
  </si>
  <si>
    <t>Rachunek Zysków i Strat</t>
  </si>
  <si>
    <t>Bilans</t>
  </si>
  <si>
    <t>Aktywa</t>
  </si>
  <si>
    <t>w tym:</t>
  </si>
  <si>
    <t>Środki pieniężne</t>
  </si>
  <si>
    <t>Pasywa</t>
  </si>
  <si>
    <t>Kredyty i pożyczki</t>
  </si>
  <si>
    <t>Pozostałe zobowiązania krótkoterminowe</t>
  </si>
  <si>
    <t>Korekta wyniku finansowego ( z RZiS)</t>
  </si>
  <si>
    <t>Wynik z lat ubiegłych - korekta</t>
  </si>
  <si>
    <t>Załącznik Nr 1.</t>
  </si>
  <si>
    <t>Załącznik Nr 2.</t>
  </si>
  <si>
    <t>Załącznik Nr 3.</t>
  </si>
  <si>
    <t>- pozostałe (woda i ścieki)</t>
  </si>
  <si>
    <t>Bilans SP ZOZ   na dzień   31-12-2022,  31-12-2023,  31-12-2024,  31-12-2025 r.</t>
  </si>
  <si>
    <t>stosunek zysku do aktywów</t>
  </si>
  <si>
    <t>aktywa obrotowe (bez rozl. międzyokr) dzielone przez zobowiązania krótkorermin</t>
  </si>
  <si>
    <r>
      <t xml:space="preserve">aktywa obrotowe (bez rozl. Międzyokr i bez </t>
    </r>
    <r>
      <rPr>
        <b/>
        <sz val="9"/>
        <color theme="1"/>
        <rFont val="Czcionka tekstu podstawowego"/>
        <charset val="238"/>
      </rPr>
      <t>zapasów</t>
    </r>
    <r>
      <rPr>
        <sz val="9"/>
        <color theme="1"/>
        <rFont val="Czcionka tekstu podstawowego"/>
        <family val="2"/>
        <charset val="238"/>
      </rPr>
      <t>) dzielone przez zobowiązania krótkorermin</t>
    </r>
  </si>
  <si>
    <t>należności z tyt dostaw i usług *365/ sumę przychodów  z RZiS</t>
  </si>
  <si>
    <t>zobowiązania z tyt dostaw i usług *365/ sumę przychodów  z RZiS</t>
  </si>
  <si>
    <t>zobowiązania z rezerwami do aktywów</t>
  </si>
  <si>
    <t>zobowiązania z rezerwami do kapitału</t>
  </si>
  <si>
    <t>wszystkie przychody/zysk netto</t>
  </si>
  <si>
    <t>wszystkie przychody bez przychodów finansowych  /zysk netto na działalności operacyjnej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</si>
</sst>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4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 CE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2">
    <xf numFmtId="0" fontId="0" fillId="0" borderId="0" xfId="0"/>
    <xf numFmtId="0" fontId="5" fillId="0" borderId="0" xfId="0" applyFont="1"/>
    <xf numFmtId="3" fontId="3" fillId="6" borderId="7" xfId="1" applyNumberFormat="1" applyFont="1" applyFill="1" applyBorder="1" applyAlignment="1" applyProtection="1">
      <alignment horizontal="right" vertical="center"/>
      <protection locked="0"/>
    </xf>
    <xf numFmtId="3" fontId="6" fillId="6" borderId="11" xfId="1" applyNumberFormat="1" applyFont="1" applyFill="1" applyBorder="1" applyAlignment="1" applyProtection="1">
      <alignment horizontal="right" vertical="center"/>
      <protection locked="0"/>
    </xf>
    <xf numFmtId="0" fontId="8" fillId="0" borderId="0" xfId="1" applyFont="1"/>
    <xf numFmtId="3" fontId="6" fillId="6" borderId="7" xfId="1" applyNumberFormat="1" applyFont="1" applyFill="1" applyBorder="1" applyAlignment="1" applyProtection="1">
      <alignment horizontal="right" vertical="center"/>
      <protection locked="0"/>
    </xf>
    <xf numFmtId="3" fontId="3" fillId="6" borderId="4" xfId="1" applyNumberFormat="1" applyFont="1" applyFill="1" applyBorder="1" applyAlignment="1" applyProtection="1">
      <alignment horizontal="right" vertical="center"/>
      <protection locked="0"/>
    </xf>
    <xf numFmtId="3" fontId="3" fillId="6" borderId="11" xfId="1" applyNumberFormat="1" applyFont="1" applyFill="1" applyBorder="1" applyAlignment="1" applyProtection="1">
      <alignment horizontal="right" vertical="center"/>
      <protection locked="0"/>
    </xf>
    <xf numFmtId="3" fontId="3" fillId="6" borderId="22" xfId="1" applyNumberFormat="1" applyFont="1" applyFill="1" applyBorder="1" applyAlignment="1" applyProtection="1">
      <alignment horizontal="right" vertical="center"/>
      <protection locked="0"/>
    </xf>
    <xf numFmtId="3" fontId="3" fillId="6" borderId="24" xfId="1" applyNumberFormat="1" applyFont="1" applyFill="1" applyBorder="1" applyAlignment="1" applyProtection="1">
      <alignment horizontal="right" vertical="center"/>
      <protection locked="0"/>
    </xf>
    <xf numFmtId="3" fontId="3" fillId="6" borderId="25" xfId="1" applyNumberFormat="1" applyFont="1" applyFill="1" applyBorder="1" applyAlignment="1" applyProtection="1">
      <alignment horizontal="right" vertical="center"/>
      <protection locked="0"/>
    </xf>
    <xf numFmtId="3" fontId="6" fillId="6" borderId="27" xfId="1" applyNumberFormat="1" applyFont="1" applyFill="1" applyBorder="1" applyAlignment="1" applyProtection="1">
      <alignment horizontal="right" vertical="center"/>
      <protection locked="0"/>
    </xf>
    <xf numFmtId="0" fontId="5" fillId="0" borderId="20" xfId="0" applyFont="1" applyBorder="1" applyAlignment="1">
      <alignment horizontal="center"/>
    </xf>
    <xf numFmtId="3" fontId="6" fillId="6" borderId="22" xfId="1" applyNumberFormat="1" applyFont="1" applyFill="1" applyBorder="1" applyAlignment="1" applyProtection="1">
      <alignment horizontal="right" vertical="center"/>
      <protection locked="0"/>
    </xf>
    <xf numFmtId="3" fontId="5" fillId="0" borderId="0" xfId="0" applyNumberFormat="1" applyFont="1"/>
    <xf numFmtId="0" fontId="6" fillId="0" borderId="29" xfId="1" applyFont="1" applyBorder="1" applyAlignment="1">
      <alignment horizontal="left" vertical="center" shrinkToFit="1"/>
    </xf>
    <xf numFmtId="0" fontId="6" fillId="0" borderId="29" xfId="1" applyFont="1" applyBorder="1" applyAlignment="1">
      <alignment horizontal="center" vertical="top"/>
    </xf>
    <xf numFmtId="3" fontId="6" fillId="0" borderId="29" xfId="1" applyNumberFormat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6" fillId="3" borderId="30" xfId="1" applyFont="1" applyFill="1" applyBorder="1" applyAlignment="1">
      <alignment horizontal="left" vertical="center"/>
    </xf>
    <xf numFmtId="0" fontId="6" fillId="3" borderId="30" xfId="1" applyFont="1" applyFill="1" applyBorder="1" applyAlignment="1">
      <alignment horizontal="justify" vertical="top"/>
    </xf>
    <xf numFmtId="3" fontId="6" fillId="3" borderId="30" xfId="1" applyNumberFormat="1" applyFont="1" applyFill="1" applyBorder="1" applyAlignment="1">
      <alignment horizontal="right" vertical="center"/>
    </xf>
    <xf numFmtId="0" fontId="6" fillId="5" borderId="30" xfId="1" applyFont="1" applyFill="1" applyBorder="1" applyAlignment="1">
      <alignment horizontal="right" vertical="center"/>
    </xf>
    <xf numFmtId="0" fontId="3" fillId="5" borderId="30" xfId="1" applyFont="1" applyFill="1" applyBorder="1" applyAlignment="1">
      <alignment horizontal="justify" vertical="top"/>
    </xf>
    <xf numFmtId="3" fontId="4" fillId="6" borderId="30" xfId="1" applyNumberFormat="1" applyFont="1" applyFill="1" applyBorder="1" applyAlignment="1" applyProtection="1">
      <alignment horizontal="right" vertical="center"/>
      <protection locked="0"/>
    </xf>
    <xf numFmtId="3" fontId="4" fillId="5" borderId="0" xfId="1" applyNumberFormat="1" applyFont="1" applyFill="1" applyAlignment="1">
      <alignment vertical="center"/>
    </xf>
    <xf numFmtId="0" fontId="6" fillId="4" borderId="31" xfId="1" applyFont="1" applyFill="1" applyBorder="1" applyAlignment="1">
      <alignment horizontal="left" vertical="center"/>
    </xf>
    <xf numFmtId="0" fontId="6" fillId="4" borderId="31" xfId="1" applyFont="1" applyFill="1" applyBorder="1" applyAlignment="1">
      <alignment horizontal="justify" vertical="top"/>
    </xf>
    <xf numFmtId="3" fontId="6" fillId="4" borderId="31" xfId="1" applyNumberFormat="1" applyFont="1" applyFill="1" applyBorder="1" applyAlignment="1">
      <alignment horizontal="right" vertical="center"/>
    </xf>
    <xf numFmtId="3" fontId="4" fillId="0" borderId="0" xfId="1" applyNumberFormat="1" applyFont="1" applyAlignment="1">
      <alignment vertical="center"/>
    </xf>
    <xf numFmtId="0" fontId="4" fillId="0" borderId="31" xfId="1" applyFont="1" applyBorder="1" applyAlignment="1">
      <alignment horizontal="left" vertical="center"/>
    </xf>
    <xf numFmtId="0" fontId="4" fillId="0" borderId="31" xfId="1" applyFont="1" applyBorder="1" applyAlignment="1">
      <alignment horizontal="justify" vertical="top"/>
    </xf>
    <xf numFmtId="3" fontId="4" fillId="6" borderId="31" xfId="1" applyNumberFormat="1" applyFont="1" applyFill="1" applyBorder="1" applyAlignment="1" applyProtection="1">
      <alignment horizontal="right" vertical="center"/>
      <protection locked="0"/>
    </xf>
    <xf numFmtId="4" fontId="4" fillId="0" borderId="0" xfId="1" applyNumberFormat="1" applyFont="1" applyAlignment="1">
      <alignment vertical="center"/>
    </xf>
    <xf numFmtId="0" fontId="6" fillId="4" borderId="31" xfId="1" applyFont="1" applyFill="1" applyBorder="1" applyAlignment="1">
      <alignment horizontal="left" vertical="center" wrapText="1"/>
    </xf>
    <xf numFmtId="0" fontId="6" fillId="4" borderId="31" xfId="1" applyFont="1" applyFill="1" applyBorder="1" applyAlignment="1">
      <alignment horizontal="left" vertical="top" wrapText="1"/>
    </xf>
    <xf numFmtId="3" fontId="6" fillId="6" borderId="31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 wrapText="1"/>
    </xf>
    <xf numFmtId="0" fontId="6" fillId="3" borderId="31" xfId="1" applyFont="1" applyFill="1" applyBorder="1" applyAlignment="1">
      <alignment horizontal="left" vertical="center"/>
    </xf>
    <xf numFmtId="0" fontId="6" fillId="3" borderId="31" xfId="1" applyFont="1" applyFill="1" applyBorder="1" applyAlignment="1">
      <alignment horizontal="justify" vertical="top"/>
    </xf>
    <xf numFmtId="3" fontId="6" fillId="3" borderId="31" xfId="1" applyNumberFormat="1" applyFont="1" applyFill="1" applyBorder="1" applyAlignment="1">
      <alignment horizontal="right" vertical="center"/>
    </xf>
    <xf numFmtId="0" fontId="6" fillId="0" borderId="31" xfId="1" applyFont="1" applyBorder="1" applyAlignment="1">
      <alignment horizontal="left" vertical="center"/>
    </xf>
    <xf numFmtId="0" fontId="6" fillId="0" borderId="31" xfId="1" applyFont="1" applyBorder="1" applyAlignment="1">
      <alignment horizontal="justify" vertical="top"/>
    </xf>
    <xf numFmtId="3" fontId="6" fillId="0" borderId="31" xfId="1" applyNumberFormat="1" applyFont="1" applyBorder="1" applyAlignment="1">
      <alignment horizontal="right" vertical="center"/>
    </xf>
    <xf numFmtId="49" fontId="4" fillId="0" borderId="31" xfId="1" applyNumberFormat="1" applyFont="1" applyBorder="1" applyAlignment="1">
      <alignment horizontal="justify" vertical="top"/>
    </xf>
    <xf numFmtId="49" fontId="6" fillId="0" borderId="31" xfId="1" applyNumberFormat="1" applyFont="1" applyBorder="1" applyAlignment="1">
      <alignment horizontal="justify" vertical="top"/>
    </xf>
    <xf numFmtId="0" fontId="6" fillId="5" borderId="31" xfId="1" applyFont="1" applyFill="1" applyBorder="1" applyAlignment="1">
      <alignment horizontal="left" vertical="center"/>
    </xf>
    <xf numFmtId="0" fontId="6" fillId="5" borderId="31" xfId="1" applyFont="1" applyFill="1" applyBorder="1" applyAlignment="1">
      <alignment horizontal="justify" vertical="top"/>
    </xf>
    <xf numFmtId="0" fontId="6" fillId="5" borderId="31" xfId="1" applyFont="1" applyFill="1" applyBorder="1" applyAlignment="1">
      <alignment horizontal="justify" vertical="top" wrapText="1"/>
    </xf>
    <xf numFmtId="49" fontId="4" fillId="5" borderId="31" xfId="1" applyNumberFormat="1" applyFont="1" applyFill="1" applyBorder="1" applyAlignment="1">
      <alignment horizontal="justify" vertical="top"/>
    </xf>
    <xf numFmtId="0" fontId="6" fillId="0" borderId="30" xfId="1" applyFont="1" applyBorder="1" applyAlignment="1">
      <alignment horizontal="left" vertical="center"/>
    </xf>
    <xf numFmtId="49" fontId="4" fillId="0" borderId="30" xfId="1" applyNumberFormat="1" applyFont="1" applyBorder="1" applyAlignment="1">
      <alignment horizontal="justify" vertical="top"/>
    </xf>
    <xf numFmtId="3" fontId="6" fillId="6" borderId="30" xfId="1" applyNumberFormat="1" applyFont="1" applyFill="1" applyBorder="1" applyAlignment="1" applyProtection="1">
      <alignment horizontal="right" vertical="center"/>
      <protection locked="0"/>
    </xf>
    <xf numFmtId="0" fontId="6" fillId="0" borderId="32" xfId="1" applyFont="1" applyBorder="1" applyAlignment="1">
      <alignment horizontal="left" vertical="center"/>
    </xf>
    <xf numFmtId="0" fontId="6" fillId="0" borderId="32" xfId="1" applyFont="1" applyBorder="1" applyAlignment="1">
      <alignment horizontal="justify" vertical="top"/>
    </xf>
    <xf numFmtId="3" fontId="6" fillId="6" borderId="32" xfId="1" applyNumberFormat="1" applyFont="1" applyFill="1" applyBorder="1" applyAlignment="1" applyProtection="1">
      <alignment horizontal="right" vertical="center"/>
      <protection locked="0"/>
    </xf>
    <xf numFmtId="0" fontId="6" fillId="0" borderId="33" xfId="1" applyFont="1" applyBorder="1" applyAlignment="1">
      <alignment horizontal="left" vertical="center"/>
    </xf>
    <xf numFmtId="0" fontId="6" fillId="0" borderId="33" xfId="1" applyFont="1" applyBorder="1" applyAlignment="1">
      <alignment horizontal="justify" vertical="top"/>
    </xf>
    <xf numFmtId="3" fontId="6" fillId="6" borderId="33" xfId="1" applyNumberFormat="1" applyFont="1" applyFill="1" applyBorder="1" applyAlignment="1" applyProtection="1">
      <alignment horizontal="right" vertical="center"/>
      <protection locked="0"/>
    </xf>
    <xf numFmtId="49" fontId="10" fillId="0" borderId="30" xfId="1" applyNumberFormat="1" applyFont="1" applyBorder="1" applyAlignment="1">
      <alignment horizontal="justify" vertical="top"/>
    </xf>
    <xf numFmtId="49" fontId="3" fillId="0" borderId="31" xfId="1" applyNumberFormat="1" applyFont="1" applyBorder="1" applyAlignment="1">
      <alignment horizontal="justify" vertical="top"/>
    </xf>
    <xf numFmtId="0" fontId="3" fillId="0" borderId="31" xfId="1" applyFont="1" applyBorder="1" applyAlignment="1">
      <alignment horizontal="justify" vertical="top"/>
    </xf>
    <xf numFmtId="0" fontId="6" fillId="0" borderId="34" xfId="1" applyFont="1" applyBorder="1" applyAlignment="1">
      <alignment horizontal="left" vertical="center"/>
    </xf>
    <xf numFmtId="0" fontId="6" fillId="0" borderId="34" xfId="1" applyFont="1" applyBorder="1" applyAlignment="1">
      <alignment horizontal="justify" vertical="top"/>
    </xf>
    <xf numFmtId="3" fontId="6" fillId="3" borderId="31" xfId="1" applyNumberFormat="1" applyFont="1" applyFill="1" applyBorder="1" applyAlignment="1">
      <alignment vertical="center"/>
    </xf>
    <xf numFmtId="3" fontId="6" fillId="6" borderId="31" xfId="1" applyNumberFormat="1" applyFont="1" applyFill="1" applyBorder="1" applyAlignment="1" applyProtection="1">
      <alignment vertical="center"/>
      <protection locked="0"/>
    </xf>
    <xf numFmtId="0" fontId="6" fillId="3" borderId="34" xfId="1" applyFont="1" applyFill="1" applyBorder="1" applyAlignment="1">
      <alignment horizontal="left" vertical="center"/>
    </xf>
    <xf numFmtId="0" fontId="6" fillId="3" borderId="34" xfId="1" applyFont="1" applyFill="1" applyBorder="1" applyAlignment="1">
      <alignment horizontal="justify" vertical="top" wrapText="1"/>
    </xf>
    <xf numFmtId="3" fontId="6" fillId="6" borderId="34" xfId="1" applyNumberFormat="1" applyFont="1" applyFill="1" applyBorder="1" applyAlignment="1" applyProtection="1">
      <alignment vertical="center"/>
      <protection locked="0"/>
    </xf>
    <xf numFmtId="0" fontId="6" fillId="3" borderId="32" xfId="1" applyFont="1" applyFill="1" applyBorder="1" applyAlignment="1">
      <alignment horizontal="left" vertical="center"/>
    </xf>
    <xf numFmtId="0" fontId="6" fillId="3" borderId="32" xfId="1" applyFont="1" applyFill="1" applyBorder="1" applyAlignment="1">
      <alignment vertical="top"/>
    </xf>
    <xf numFmtId="3" fontId="6" fillId="3" borderId="32" xfId="1" applyNumberFormat="1" applyFont="1" applyFill="1" applyBorder="1" applyAlignment="1">
      <alignment vertical="center"/>
    </xf>
    <xf numFmtId="0" fontId="6" fillId="0" borderId="13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center" vertical="top"/>
    </xf>
    <xf numFmtId="3" fontId="6" fillId="0" borderId="9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vertical="top"/>
    </xf>
    <xf numFmtId="3" fontId="4" fillId="5" borderId="7" xfId="1" applyNumberFormat="1" applyFont="1" applyFill="1" applyBorder="1" applyAlignment="1">
      <alignment vertical="center"/>
    </xf>
    <xf numFmtId="3" fontId="4" fillId="5" borderId="22" xfId="1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vertical="top"/>
    </xf>
    <xf numFmtId="3" fontId="4" fillId="5" borderId="24" xfId="1" applyNumberFormat="1" applyFont="1" applyFill="1" applyBorder="1" applyAlignment="1">
      <alignment vertical="center"/>
    </xf>
    <xf numFmtId="3" fontId="4" fillId="5" borderId="25" xfId="1" applyNumberFormat="1" applyFont="1" applyFill="1" applyBorder="1" applyAlignment="1">
      <alignment vertical="center"/>
    </xf>
    <xf numFmtId="0" fontId="5" fillId="0" borderId="0" xfId="0" applyFont="1" applyAlignment="1">
      <alignment vertical="top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3" fontId="6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left" vertical="center" wrapText="1" shrinkToFit="1"/>
    </xf>
    <xf numFmtId="0" fontId="6" fillId="0" borderId="2" xfId="1" applyFont="1" applyBorder="1" applyAlignment="1">
      <alignment horizontal="center" vertical="center"/>
    </xf>
    <xf numFmtId="3" fontId="6" fillId="0" borderId="2" xfId="1" applyNumberFormat="1" applyFont="1" applyBorder="1" applyAlignment="1">
      <alignment horizontal="center" vertical="center"/>
    </xf>
    <xf numFmtId="3" fontId="6" fillId="5" borderId="3" xfId="1" applyNumberFormat="1" applyFont="1" applyFill="1" applyBorder="1" applyAlignment="1">
      <alignment horizontal="center" vertical="center"/>
    </xf>
    <xf numFmtId="3" fontId="6" fillId="0" borderId="3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/>
    </xf>
    <xf numFmtId="3" fontId="3" fillId="0" borderId="5" xfId="1" applyNumberFormat="1" applyFont="1" applyBorder="1" applyAlignment="1">
      <alignment horizontal="center" vertical="center"/>
    </xf>
    <xf numFmtId="3" fontId="3" fillId="0" borderId="20" xfId="1" applyNumberFormat="1" applyFont="1" applyBorder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vertical="center"/>
    </xf>
    <xf numFmtId="3" fontId="6" fillId="2" borderId="7" xfId="1" applyNumberFormat="1" applyFont="1" applyFill="1" applyBorder="1" applyAlignment="1">
      <alignment horizontal="right" vertical="center"/>
    </xf>
    <xf numFmtId="3" fontId="6" fillId="2" borderId="22" xfId="1" applyNumberFormat="1" applyFont="1" applyFill="1" applyBorder="1" applyAlignment="1">
      <alignment horizontal="right" vertical="center"/>
    </xf>
    <xf numFmtId="0" fontId="6" fillId="4" borderId="6" xfId="1" applyFont="1" applyFill="1" applyBorder="1" applyAlignment="1">
      <alignment horizontal="left" vertical="center"/>
    </xf>
    <xf numFmtId="0" fontId="6" fillId="4" borderId="7" xfId="1" applyFont="1" applyFill="1" applyBorder="1" applyAlignment="1">
      <alignment vertical="center"/>
    </xf>
    <xf numFmtId="3" fontId="6" fillId="4" borderId="7" xfId="1" applyNumberFormat="1" applyFont="1" applyFill="1" applyBorder="1" applyAlignment="1">
      <alignment horizontal="right" vertical="center"/>
    </xf>
    <xf numFmtId="3" fontId="6" fillId="4" borderId="22" xfId="1" applyNumberFormat="1" applyFont="1" applyFill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0" fontId="3" fillId="0" borderId="7" xfId="1" applyFont="1" applyBorder="1" applyAlignment="1">
      <alignment vertical="center"/>
    </xf>
    <xf numFmtId="3" fontId="6" fillId="4" borderId="12" xfId="1" applyNumberFormat="1" applyFont="1" applyFill="1" applyBorder="1" applyAlignment="1">
      <alignment horizontal="right" vertical="center"/>
    </xf>
    <xf numFmtId="3" fontId="3" fillId="0" borderId="7" xfId="1" applyNumberFormat="1" applyFont="1" applyBorder="1" applyAlignment="1">
      <alignment horizontal="right" vertical="center"/>
    </xf>
    <xf numFmtId="3" fontId="3" fillId="0" borderId="22" xfId="1" applyNumberFormat="1" applyFont="1" applyBorder="1" applyAlignment="1">
      <alignment horizontal="right" vertical="center"/>
    </xf>
    <xf numFmtId="0" fontId="3" fillId="0" borderId="7" xfId="1" applyFont="1" applyBorder="1" applyAlignment="1">
      <alignment vertical="center" shrinkToFit="1"/>
    </xf>
    <xf numFmtId="0" fontId="3" fillId="5" borderId="6" xfId="1" applyFont="1" applyFill="1" applyBorder="1" applyAlignment="1">
      <alignment horizontal="left" vertical="center"/>
    </xf>
    <xf numFmtId="0" fontId="9" fillId="0" borderId="7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6" fillId="4" borderId="7" xfId="1" applyFont="1" applyFill="1" applyBorder="1" applyAlignment="1">
      <alignment vertical="center" shrinkToFit="1"/>
    </xf>
    <xf numFmtId="0" fontId="3" fillId="0" borderId="8" xfId="1" applyFont="1" applyBorder="1" applyAlignment="1">
      <alignment horizontal="left" vertical="center"/>
    </xf>
    <xf numFmtId="0" fontId="3" fillId="0" borderId="4" xfId="1" applyFont="1" applyBorder="1" applyAlignment="1">
      <alignment vertical="center"/>
    </xf>
    <xf numFmtId="0" fontId="3" fillId="0" borderId="23" xfId="1" applyFont="1" applyBorder="1" applyAlignment="1">
      <alignment horizontal="left" vertical="center"/>
    </xf>
    <xf numFmtId="0" fontId="3" fillId="0" borderId="24" xfId="1" applyFont="1" applyBorder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9" xfId="1" applyFont="1" applyBorder="1" applyAlignment="1">
      <alignment vertical="center" wrapText="1"/>
    </xf>
    <xf numFmtId="3" fontId="3" fillId="0" borderId="9" xfId="1" applyNumberFormat="1" applyFont="1" applyBorder="1" applyAlignment="1">
      <alignment horizontal="right" vertical="center"/>
    </xf>
    <xf numFmtId="3" fontId="3" fillId="0" borderId="26" xfId="1" applyNumberFormat="1" applyFont="1" applyBorder="1" applyAlignment="1">
      <alignment horizontal="right" vertical="center"/>
    </xf>
    <xf numFmtId="0" fontId="3" fillId="0" borderId="4" xfId="1" applyFont="1" applyBorder="1" applyAlignment="1">
      <alignment vertical="center" wrapText="1"/>
    </xf>
    <xf numFmtId="0" fontId="6" fillId="4" borderId="10" xfId="1" applyFont="1" applyFill="1" applyBorder="1" applyAlignment="1">
      <alignment horizontal="left" vertical="center"/>
    </xf>
    <xf numFmtId="0" fontId="6" fillId="4" borderId="11" xfId="1" applyFont="1" applyFill="1" applyBorder="1" applyAlignment="1">
      <alignment vertical="center" shrinkToFit="1"/>
    </xf>
    <xf numFmtId="0" fontId="6" fillId="2" borderId="10" xfId="1" applyFont="1" applyFill="1" applyBorder="1" applyAlignment="1">
      <alignment horizontal="left" vertical="center"/>
    </xf>
    <xf numFmtId="0" fontId="6" fillId="2" borderId="11" xfId="1" applyFont="1" applyFill="1" applyBorder="1" applyAlignment="1">
      <alignment vertical="center" shrinkToFit="1"/>
    </xf>
    <xf numFmtId="0" fontId="7" fillId="3" borderId="1" xfId="1" applyFont="1" applyFill="1" applyBorder="1" applyAlignment="1">
      <alignment horizontal="left" vertical="center"/>
    </xf>
    <xf numFmtId="0" fontId="7" fillId="3" borderId="2" xfId="1" applyFont="1" applyFill="1" applyBorder="1" applyAlignment="1">
      <alignment vertical="center"/>
    </xf>
    <xf numFmtId="3" fontId="7" fillId="3" borderId="2" xfId="1" applyNumberFormat="1" applyFont="1" applyFill="1" applyBorder="1" applyAlignment="1">
      <alignment horizontal="right" vertical="center"/>
    </xf>
    <xf numFmtId="3" fontId="7" fillId="3" borderId="19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  <xf numFmtId="0" fontId="6" fillId="4" borderId="7" xfId="1" applyFont="1" applyFill="1" applyBorder="1" applyAlignment="1">
      <alignment vertical="center" wrapText="1"/>
    </xf>
    <xf numFmtId="0" fontId="3" fillId="5" borderId="7" xfId="1" applyFont="1" applyFill="1" applyBorder="1" applyAlignment="1">
      <alignment vertical="center" wrapText="1"/>
    </xf>
    <xf numFmtId="0" fontId="3" fillId="5" borderId="7" xfId="1" applyFont="1" applyFill="1" applyBorder="1" applyAlignment="1">
      <alignment vertical="center"/>
    </xf>
    <xf numFmtId="0" fontId="6" fillId="2" borderId="7" xfId="1" applyFont="1" applyFill="1" applyBorder="1" applyAlignment="1">
      <alignment vertical="center" wrapText="1"/>
    </xf>
    <xf numFmtId="3" fontId="3" fillId="5" borderId="7" xfId="1" applyNumberFormat="1" applyFont="1" applyFill="1" applyBorder="1" applyAlignment="1">
      <alignment horizontal="right" vertical="center"/>
    </xf>
    <xf numFmtId="3" fontId="3" fillId="5" borderId="22" xfId="1" applyNumberFormat="1" applyFont="1" applyFill="1" applyBorder="1" applyAlignment="1">
      <alignment horizontal="right" vertical="center"/>
    </xf>
    <xf numFmtId="0" fontId="3" fillId="0" borderId="24" xfId="1" applyFont="1" applyBorder="1" applyAlignment="1">
      <alignment vertical="center" wrapText="1"/>
    </xf>
    <xf numFmtId="3" fontId="3" fillId="0" borderId="24" xfId="1" applyNumberFormat="1" applyFont="1" applyBorder="1" applyAlignment="1">
      <alignment horizontal="right" vertical="center"/>
    </xf>
    <xf numFmtId="3" fontId="3" fillId="0" borderId="25" xfId="1" applyNumberFormat="1" applyFont="1" applyBorder="1" applyAlignment="1">
      <alignment horizontal="right" vertical="center"/>
    </xf>
    <xf numFmtId="3" fontId="3" fillId="5" borderId="4" xfId="1" applyNumberFormat="1" applyFont="1" applyFill="1" applyBorder="1" applyAlignment="1">
      <alignment horizontal="right" vertical="center"/>
    </xf>
    <xf numFmtId="0" fontId="3" fillId="0" borderId="11" xfId="1" applyFont="1" applyBorder="1" applyAlignment="1">
      <alignment vertical="center"/>
    </xf>
    <xf numFmtId="0" fontId="6" fillId="4" borderId="11" xfId="1" applyFont="1" applyFill="1" applyBorder="1" applyAlignment="1">
      <alignment vertical="center" wrapText="1" shrinkToFit="1"/>
    </xf>
    <xf numFmtId="3" fontId="6" fillId="4" borderId="11" xfId="1" applyNumberFormat="1" applyFont="1" applyFill="1" applyBorder="1" applyAlignment="1">
      <alignment horizontal="right" vertical="center"/>
    </xf>
    <xf numFmtId="0" fontId="3" fillId="0" borderId="7" xfId="1" applyFont="1" applyBorder="1" applyAlignment="1">
      <alignment vertical="center" wrapText="1" shrinkToFit="1"/>
    </xf>
    <xf numFmtId="0" fontId="3" fillId="0" borderId="10" xfId="1" applyFont="1" applyBorder="1" applyAlignment="1">
      <alignment horizontal="left" vertical="center"/>
    </xf>
    <xf numFmtId="0" fontId="3" fillId="0" borderId="11" xfId="1" applyFont="1" applyBorder="1" applyAlignment="1">
      <alignment vertical="center" wrapText="1" shrinkToFit="1"/>
    </xf>
    <xf numFmtId="49" fontId="3" fillId="0" borderId="11" xfId="1" applyNumberFormat="1" applyFont="1" applyBorder="1" applyAlignment="1">
      <alignment vertical="center" wrapText="1" shrinkToFit="1"/>
    </xf>
    <xf numFmtId="0" fontId="3" fillId="0" borderId="14" xfId="1" applyFont="1" applyBorder="1" applyAlignment="1">
      <alignment horizontal="left" vertical="center"/>
    </xf>
    <xf numFmtId="3" fontId="6" fillId="5" borderId="29" xfId="1" applyNumberFormat="1" applyFont="1" applyFill="1" applyBorder="1" applyAlignment="1">
      <alignment horizontal="center" vertical="center"/>
    </xf>
    <xf numFmtId="3" fontId="6" fillId="0" borderId="19" xfId="1" applyNumberFormat="1" applyFont="1" applyBorder="1" applyAlignment="1">
      <alignment horizontal="center" vertical="center"/>
    </xf>
    <xf numFmtId="0" fontId="3" fillId="0" borderId="36" xfId="1" applyFont="1" applyBorder="1" applyAlignment="1">
      <alignment vertical="center"/>
    </xf>
    <xf numFmtId="3" fontId="3" fillId="0" borderId="36" xfId="1" applyNumberFormat="1" applyFont="1" applyBorder="1" applyAlignment="1">
      <alignment horizontal="right" vertical="center"/>
    </xf>
    <xf numFmtId="3" fontId="3" fillId="0" borderId="37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vertical="center"/>
    </xf>
    <xf numFmtId="3" fontId="3" fillId="5" borderId="20" xfId="1" applyNumberFormat="1" applyFont="1" applyFill="1" applyBorder="1" applyAlignment="1">
      <alignment horizontal="right" vertical="center"/>
    </xf>
    <xf numFmtId="0" fontId="3" fillId="0" borderId="0" xfId="1" applyFont="1" applyAlignment="1">
      <alignment vertical="center"/>
    </xf>
    <xf numFmtId="3" fontId="3" fillId="6" borderId="20" xfId="1" applyNumberFormat="1" applyFont="1" applyFill="1" applyBorder="1" applyAlignment="1" applyProtection="1">
      <alignment horizontal="right" vertical="center"/>
      <protection locked="0"/>
    </xf>
    <xf numFmtId="3" fontId="3" fillId="6" borderId="27" xfId="1" applyNumberFormat="1" applyFont="1" applyFill="1" applyBorder="1" applyAlignment="1" applyProtection="1">
      <alignment horizontal="right" vertical="center"/>
      <protection locked="0"/>
    </xf>
    <xf numFmtId="3" fontId="6" fillId="4" borderId="27" xfId="1" applyNumberFormat="1" applyFont="1" applyFill="1" applyBorder="1" applyAlignment="1">
      <alignment horizontal="right" vertical="center"/>
    </xf>
    <xf numFmtId="3" fontId="6" fillId="0" borderId="26" xfId="1" applyNumberFormat="1" applyFont="1" applyBorder="1" applyAlignment="1">
      <alignment horizontal="center" vertical="center"/>
    </xf>
    <xf numFmtId="2" fontId="5" fillId="0" borderId="0" xfId="0" applyNumberFormat="1" applyFont="1"/>
    <xf numFmtId="2" fontId="5" fillId="7" borderId="0" xfId="0" applyNumberFormat="1" applyFont="1" applyFill="1"/>
    <xf numFmtId="0" fontId="4" fillId="0" borderId="7" xfId="1" applyFont="1" applyBorder="1" applyAlignment="1">
      <alignment vertical="center"/>
    </xf>
    <xf numFmtId="0" fontId="5" fillId="0" borderId="7" xfId="0" applyFont="1" applyBorder="1"/>
    <xf numFmtId="2" fontId="5" fillId="0" borderId="7" xfId="0" applyNumberFormat="1" applyFont="1" applyBorder="1"/>
    <xf numFmtId="2" fontId="5" fillId="7" borderId="7" xfId="0" applyNumberFormat="1" applyFont="1" applyFill="1" applyBorder="1"/>
    <xf numFmtId="0" fontId="11" fillId="0" borderId="7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0" xfId="0" applyFont="1"/>
    <xf numFmtId="0" fontId="12" fillId="4" borderId="7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2" fillId="0" borderId="9" xfId="0" applyFont="1" applyBorder="1"/>
    <xf numFmtId="3" fontId="13" fillId="0" borderId="9" xfId="0" applyNumberFormat="1" applyFont="1" applyBorder="1"/>
    <xf numFmtId="0" fontId="13" fillId="0" borderId="9" xfId="0" applyFont="1" applyBorder="1"/>
    <xf numFmtId="0" fontId="13" fillId="0" borderId="26" xfId="0" applyFont="1" applyBorder="1"/>
    <xf numFmtId="0" fontId="13" fillId="0" borderId="6" xfId="0" applyFont="1" applyBorder="1" applyAlignment="1">
      <alignment horizontal="center"/>
    </xf>
    <xf numFmtId="0" fontId="13" fillId="0" borderId="7" xfId="0" applyFont="1" applyBorder="1"/>
    <xf numFmtId="3" fontId="13" fillId="0" borderId="7" xfId="0" applyNumberFormat="1" applyFont="1" applyBorder="1"/>
    <xf numFmtId="3" fontId="13" fillId="0" borderId="22" xfId="0" applyNumberFormat="1" applyFont="1" applyBorder="1"/>
    <xf numFmtId="0" fontId="12" fillId="0" borderId="7" xfId="0" applyFont="1" applyBorder="1"/>
    <xf numFmtId="3" fontId="12" fillId="0" borderId="7" xfId="0" applyNumberFormat="1" applyFont="1" applyBorder="1"/>
    <xf numFmtId="3" fontId="12" fillId="0" borderId="22" xfId="0" applyNumberFormat="1" applyFont="1" applyBorder="1"/>
    <xf numFmtId="0" fontId="13" fillId="0" borderId="10" xfId="0" applyFont="1" applyBorder="1" applyAlignment="1">
      <alignment horizontal="center"/>
    </xf>
    <xf numFmtId="0" fontId="12" fillId="0" borderId="11" xfId="0" applyFont="1" applyBorder="1"/>
    <xf numFmtId="3" fontId="12" fillId="0" borderId="11" xfId="0" applyNumberFormat="1" applyFont="1" applyBorder="1"/>
    <xf numFmtId="3" fontId="12" fillId="0" borderId="27" xfId="0" applyNumberFormat="1" applyFont="1" applyBorder="1"/>
    <xf numFmtId="0" fontId="13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/>
    </xf>
    <xf numFmtId="3" fontId="12" fillId="4" borderId="2" xfId="0" applyNumberFormat="1" applyFont="1" applyFill="1" applyBorder="1" applyAlignment="1">
      <alignment vertical="center"/>
    </xf>
    <xf numFmtId="3" fontId="12" fillId="4" borderId="19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3" fontId="13" fillId="0" borderId="2" xfId="0" applyNumberFormat="1" applyFont="1" applyBorder="1"/>
    <xf numFmtId="0" fontId="13" fillId="0" borderId="2" xfId="0" applyFont="1" applyBorder="1"/>
    <xf numFmtId="0" fontId="13" fillId="0" borderId="19" xfId="0" applyFont="1" applyBorder="1"/>
    <xf numFmtId="0" fontId="13" fillId="0" borderId="8" xfId="0" applyFont="1" applyBorder="1" applyAlignment="1">
      <alignment horizontal="center"/>
    </xf>
    <xf numFmtId="0" fontId="12" fillId="0" borderId="4" xfId="0" applyFont="1" applyBorder="1"/>
    <xf numFmtId="3" fontId="12" fillId="0" borderId="4" xfId="0" applyNumberFormat="1" applyFont="1" applyBorder="1"/>
    <xf numFmtId="3" fontId="12" fillId="0" borderId="20" xfId="0" applyNumberFormat="1" applyFont="1" applyBorder="1"/>
    <xf numFmtId="0" fontId="13" fillId="0" borderId="22" xfId="0" applyFont="1" applyBorder="1"/>
    <xf numFmtId="0" fontId="12" fillId="0" borderId="22" xfId="0" applyFont="1" applyBorder="1"/>
    <xf numFmtId="0" fontId="13" fillId="0" borderId="11" xfId="0" applyFont="1" applyBorder="1"/>
    <xf numFmtId="3" fontId="13" fillId="0" borderId="11" xfId="0" applyNumberFormat="1" applyFont="1" applyBorder="1"/>
    <xf numFmtId="3" fontId="13" fillId="0" borderId="27" xfId="0" applyNumberFormat="1" applyFont="1" applyBorder="1"/>
    <xf numFmtId="0" fontId="13" fillId="0" borderId="23" xfId="0" applyFont="1" applyBorder="1" applyAlignment="1">
      <alignment horizontal="center"/>
    </xf>
    <xf numFmtId="0" fontId="13" fillId="0" borderId="24" xfId="0" applyFont="1" applyBorder="1"/>
    <xf numFmtId="3" fontId="13" fillId="0" borderId="24" xfId="0" applyNumberFormat="1" applyFont="1" applyBorder="1"/>
    <xf numFmtId="3" fontId="13" fillId="0" borderId="25" xfId="0" applyNumberFormat="1" applyFont="1" applyBorder="1"/>
    <xf numFmtId="3" fontId="13" fillId="0" borderId="0" xfId="0" applyNumberFormat="1" applyFont="1"/>
    <xf numFmtId="0" fontId="12" fillId="0" borderId="0" xfId="0" applyFont="1" applyAlignment="1">
      <alignment horizontal="center" vertical="top"/>
    </xf>
    <xf numFmtId="3" fontId="0" fillId="0" borderId="0" xfId="0" applyNumberFormat="1"/>
    <xf numFmtId="3" fontId="4" fillId="6" borderId="11" xfId="1" applyNumberFormat="1" applyFont="1" applyFill="1" applyBorder="1" applyAlignment="1" applyProtection="1">
      <alignment horizontal="right" vertical="center"/>
      <protection locked="0"/>
    </xf>
    <xf numFmtId="164" fontId="4" fillId="0" borderId="0" xfId="1" applyNumberFormat="1" applyFont="1" applyAlignment="1">
      <alignment vertical="center"/>
    </xf>
    <xf numFmtId="0" fontId="12" fillId="5" borderId="0" xfId="0" applyFont="1" applyFill="1" applyAlignment="1">
      <alignment horizontal="center"/>
    </xf>
    <xf numFmtId="0" fontId="4" fillId="0" borderId="35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2" fillId="4" borderId="9" xfId="0" applyFont="1" applyFill="1" applyBorder="1" applyAlignment="1">
      <alignment horizontal="center"/>
    </xf>
    <xf numFmtId="0" fontId="12" fillId="4" borderId="26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347D6-6658-40D9-8634-503F80BCB581}">
  <dimension ref="A1:N89"/>
  <sheetViews>
    <sheetView tabSelected="1" topLeftCell="A65" workbookViewId="0">
      <selection activeCell="A3" sqref="A3:F89"/>
    </sheetView>
  </sheetViews>
  <sheetFormatPr defaultColWidth="7.75" defaultRowHeight="14.25"/>
  <cols>
    <col min="1" max="1" width="4.375" customWidth="1"/>
    <col min="2" max="2" width="39" customWidth="1"/>
    <col min="3" max="6" width="10.125" customWidth="1"/>
    <col min="7" max="7" width="10.875" customWidth="1"/>
    <col min="8" max="12" width="11.75" customWidth="1"/>
  </cols>
  <sheetData>
    <row r="1" spans="1:14">
      <c r="B1" t="s">
        <v>386</v>
      </c>
    </row>
    <row r="2" spans="1:14" ht="6.75" customHeight="1"/>
    <row r="3" spans="1:14" ht="15" thickBot="1">
      <c r="A3" s="1"/>
      <c r="B3" s="219" t="s">
        <v>342</v>
      </c>
      <c r="C3" s="223"/>
      <c r="D3" s="223"/>
      <c r="E3" s="1"/>
      <c r="F3" s="1"/>
    </row>
    <row r="4" spans="1:14" ht="15" thickBot="1">
      <c r="A4" s="15"/>
      <c r="B4" s="16" t="s">
        <v>1</v>
      </c>
      <c r="C4" s="151">
        <v>2022</v>
      </c>
      <c r="D4" s="17">
        <v>2023</v>
      </c>
      <c r="E4" s="17">
        <v>2024</v>
      </c>
      <c r="F4" s="17">
        <v>2025</v>
      </c>
    </row>
    <row r="5" spans="1:14" ht="24">
      <c r="A5" s="19" t="s">
        <v>3</v>
      </c>
      <c r="B5" s="20" t="s">
        <v>215</v>
      </c>
      <c r="C5" s="21">
        <f t="shared" ref="C5:F5" si="0">C7+C12</f>
        <v>72356259.900000006</v>
      </c>
      <c r="D5" s="21">
        <f t="shared" si="0"/>
        <v>76373660</v>
      </c>
      <c r="E5" s="21">
        <f t="shared" si="0"/>
        <v>80150000</v>
      </c>
      <c r="F5" s="21">
        <f t="shared" si="0"/>
        <v>83250000</v>
      </c>
      <c r="H5" s="18"/>
      <c r="I5" s="18"/>
      <c r="J5" s="18"/>
      <c r="K5" s="18"/>
      <c r="L5" s="18"/>
    </row>
    <row r="6" spans="1:14">
      <c r="A6" s="22" t="s">
        <v>216</v>
      </c>
      <c r="B6" s="23" t="s">
        <v>217</v>
      </c>
      <c r="C6" s="24">
        <v>0</v>
      </c>
      <c r="D6" s="24">
        <v>0</v>
      </c>
      <c r="E6" s="24">
        <v>0</v>
      </c>
      <c r="F6" s="24">
        <v>0</v>
      </c>
      <c r="H6" s="25"/>
      <c r="I6" s="25"/>
      <c r="J6" s="25"/>
      <c r="K6" s="25"/>
      <c r="L6" s="25"/>
    </row>
    <row r="7" spans="1:14">
      <c r="A7" s="26" t="s">
        <v>218</v>
      </c>
      <c r="B7" s="27" t="s">
        <v>219</v>
      </c>
      <c r="C7" s="28">
        <f>SUM(C8:C11)</f>
        <v>72365983.770000011</v>
      </c>
      <c r="D7" s="28">
        <f t="shared" ref="D7:F7" si="1">SUM(D8:D11)</f>
        <v>76373660</v>
      </c>
      <c r="E7" s="28">
        <f t="shared" si="1"/>
        <v>80150000</v>
      </c>
      <c r="F7" s="28">
        <f t="shared" si="1"/>
        <v>83250000</v>
      </c>
      <c r="H7" s="18" t="s">
        <v>220</v>
      </c>
      <c r="I7" s="29">
        <f>C5+C48+C62</f>
        <v>80348519.75</v>
      </c>
      <c r="J7" s="29">
        <f t="shared" ref="J7:L7" si="2">D5+D48+D62</f>
        <v>85801060</v>
      </c>
      <c r="K7" s="29">
        <f t="shared" si="2"/>
        <v>87555000</v>
      </c>
      <c r="L7" s="29">
        <f t="shared" si="2"/>
        <v>90615000</v>
      </c>
      <c r="N7" s="1" t="s">
        <v>397</v>
      </c>
    </row>
    <row r="8" spans="1:14">
      <c r="A8" s="30" t="s">
        <v>7</v>
      </c>
      <c r="B8" s="31" t="s">
        <v>221</v>
      </c>
      <c r="C8" s="32">
        <v>69190213.510000005</v>
      </c>
      <c r="D8" s="32">
        <v>73252700</v>
      </c>
      <c r="E8" s="32">
        <v>76900000</v>
      </c>
      <c r="F8" s="32">
        <v>80000000</v>
      </c>
      <c r="H8" s="29"/>
      <c r="I8" s="33">
        <f>C84*100/I7</f>
        <v>0.64170049629319392</v>
      </c>
      <c r="J8" s="33">
        <f t="shared" ref="J8:L8" si="3">D84*100/J7</f>
        <v>-2.1929915551159858</v>
      </c>
      <c r="K8" s="222">
        <f t="shared" si="3"/>
        <v>4.5685569070869738E-3</v>
      </c>
      <c r="L8" s="33">
        <f t="shared" si="3"/>
        <v>4.5798157038017991E-2</v>
      </c>
    </row>
    <row r="9" spans="1:14">
      <c r="A9" s="30" t="s">
        <v>9</v>
      </c>
      <c r="B9" s="31" t="s">
        <v>222</v>
      </c>
      <c r="C9" s="32">
        <v>0</v>
      </c>
      <c r="D9" s="32"/>
      <c r="E9" s="32"/>
      <c r="F9" s="32"/>
      <c r="H9" s="18"/>
      <c r="I9" s="18"/>
      <c r="J9" s="18"/>
      <c r="K9" s="18"/>
      <c r="L9" s="18"/>
    </row>
    <row r="10" spans="1:14">
      <c r="A10" s="30" t="s">
        <v>11</v>
      </c>
      <c r="B10" s="31" t="s">
        <v>223</v>
      </c>
      <c r="C10" s="32">
        <v>733713.9</v>
      </c>
      <c r="D10" s="32">
        <v>738000</v>
      </c>
      <c r="E10" s="32">
        <v>750000</v>
      </c>
      <c r="F10" s="32">
        <v>750000</v>
      </c>
      <c r="H10" s="18" t="s">
        <v>224</v>
      </c>
      <c r="I10" s="29">
        <f>C5+C48</f>
        <v>80083527.780000001</v>
      </c>
      <c r="J10" s="29">
        <f t="shared" ref="J10:L10" si="4">D5+D48</f>
        <v>85641060</v>
      </c>
      <c r="K10" s="29">
        <f t="shared" si="4"/>
        <v>87495000</v>
      </c>
      <c r="L10" s="29">
        <f t="shared" si="4"/>
        <v>90575000</v>
      </c>
      <c r="N10" s="1" t="s">
        <v>398</v>
      </c>
    </row>
    <row r="11" spans="1:14">
      <c r="A11" s="30" t="s">
        <v>13</v>
      </c>
      <c r="B11" s="31" t="s">
        <v>225</v>
      </c>
      <c r="C11" s="32">
        <f>775381.08+278573.81+839800.45+548301.02</f>
        <v>2442056.36</v>
      </c>
      <c r="D11" s="32">
        <f>3026000+888000+450000+1000000+555000+611600+11000+165500-800000-3000000-524140</f>
        <v>2382960</v>
      </c>
      <c r="E11" s="32">
        <v>2500000</v>
      </c>
      <c r="F11" s="32">
        <v>2500000</v>
      </c>
      <c r="H11" s="18" t="s">
        <v>226</v>
      </c>
      <c r="I11" s="33">
        <f>C61*100/I10</f>
        <v>0.41481655367703252</v>
      </c>
      <c r="J11" s="33">
        <f t="shared" ref="J11:L11" si="5">D61*100/J10</f>
        <v>-2.3722382698205742</v>
      </c>
      <c r="K11" s="33">
        <f t="shared" si="5"/>
        <v>-5.2574432824732842E-2</v>
      </c>
      <c r="L11" s="33">
        <f t="shared" si="5"/>
        <v>1.269666022633177E-2</v>
      </c>
    </row>
    <row r="12" spans="1:14" ht="36">
      <c r="A12" s="34" t="s">
        <v>15</v>
      </c>
      <c r="B12" s="35" t="s">
        <v>227</v>
      </c>
      <c r="C12" s="36">
        <f>-9723.87</f>
        <v>-9723.8700000000008</v>
      </c>
      <c r="D12" s="36">
        <v>0</v>
      </c>
      <c r="E12" s="36">
        <v>0</v>
      </c>
      <c r="F12" s="36">
        <v>0</v>
      </c>
    </row>
    <row r="13" spans="1:14" ht="24">
      <c r="A13" s="26" t="s">
        <v>33</v>
      </c>
      <c r="B13" s="27" t="s">
        <v>228</v>
      </c>
      <c r="C13" s="36">
        <v>0</v>
      </c>
      <c r="D13" s="36">
        <v>0</v>
      </c>
      <c r="E13" s="36">
        <v>0</v>
      </c>
      <c r="F13" s="36">
        <v>0</v>
      </c>
    </row>
    <row r="14" spans="1:14" ht="24">
      <c r="A14" s="26" t="s">
        <v>41</v>
      </c>
      <c r="B14" s="27" t="s">
        <v>229</v>
      </c>
      <c r="C14" s="36">
        <v>0</v>
      </c>
      <c r="D14" s="36">
        <v>0</v>
      </c>
      <c r="E14" s="36">
        <v>0</v>
      </c>
      <c r="F14" s="36">
        <v>0</v>
      </c>
    </row>
    <row r="15" spans="1:14">
      <c r="A15" s="38" t="s">
        <v>69</v>
      </c>
      <c r="B15" s="39" t="s">
        <v>230</v>
      </c>
      <c r="C15" s="40">
        <f>C16+C17+C29+C34+C36+C40+C44</f>
        <v>79012622.900000021</v>
      </c>
      <c r="D15" s="40">
        <f t="shared" ref="D15:F15" si="6">D16+D17+D29+D34+D36+D40+D44</f>
        <v>87476560</v>
      </c>
      <c r="E15" s="40">
        <f t="shared" si="6"/>
        <v>87341000</v>
      </c>
      <c r="F15" s="40">
        <f t="shared" si="6"/>
        <v>90363500</v>
      </c>
      <c r="I15">
        <f>E8*100/D8</f>
        <v>104.97906561805912</v>
      </c>
      <c r="J15">
        <f>F8*100/E8</f>
        <v>104.03120936280884</v>
      </c>
    </row>
    <row r="16" spans="1:14">
      <c r="A16" s="26" t="s">
        <v>231</v>
      </c>
      <c r="B16" s="27" t="s">
        <v>232</v>
      </c>
      <c r="C16" s="36">
        <v>3671897.07</v>
      </c>
      <c r="D16" s="36">
        <v>4536000</v>
      </c>
      <c r="E16" s="36">
        <v>4500000</v>
      </c>
      <c r="F16" s="36">
        <v>4600000</v>
      </c>
    </row>
    <row r="17" spans="1:11">
      <c r="A17" s="26" t="s">
        <v>83</v>
      </c>
      <c r="B17" s="27" t="s">
        <v>233</v>
      </c>
      <c r="C17" s="28">
        <f>C18+C25</f>
        <v>9675917.4700000007</v>
      </c>
      <c r="D17" s="28">
        <f t="shared" ref="D17:F17" si="7">D18+D25</f>
        <v>11615560</v>
      </c>
      <c r="E17" s="28">
        <f t="shared" si="7"/>
        <v>11700000</v>
      </c>
      <c r="F17" s="28">
        <f t="shared" si="7"/>
        <v>11950000</v>
      </c>
    </row>
    <row r="18" spans="1:11">
      <c r="A18" s="41" t="s">
        <v>234</v>
      </c>
      <c r="B18" s="42" t="s">
        <v>235</v>
      </c>
      <c r="C18" s="43">
        <f>SUM(C19:C24)</f>
        <v>8293270.9400000004</v>
      </c>
      <c r="D18" s="43">
        <f t="shared" ref="D18:F18" si="8">SUM(D19:D24)</f>
        <v>9297560</v>
      </c>
      <c r="E18" s="43">
        <f t="shared" si="8"/>
        <v>9450000</v>
      </c>
      <c r="F18" s="43">
        <f t="shared" si="8"/>
        <v>9600000</v>
      </c>
    </row>
    <row r="19" spans="1:11">
      <c r="A19" s="30" t="s">
        <v>87</v>
      </c>
      <c r="B19" s="44" t="s">
        <v>236</v>
      </c>
      <c r="C19" s="32">
        <f>1401585.82+853283.59</f>
        <v>2254869.41</v>
      </c>
      <c r="D19" s="32">
        <f>1480000+1575000</f>
        <v>3055000</v>
      </c>
      <c r="E19" s="32">
        <v>3150000</v>
      </c>
      <c r="F19" s="32">
        <v>3250000</v>
      </c>
    </row>
    <row r="20" spans="1:11">
      <c r="A20" s="30" t="s">
        <v>92</v>
      </c>
      <c r="B20" s="44" t="s">
        <v>237</v>
      </c>
      <c r="C20" s="32">
        <v>481028.51</v>
      </c>
      <c r="D20" s="32">
        <v>600000</v>
      </c>
      <c r="E20" s="32">
        <v>650000</v>
      </c>
      <c r="F20" s="32">
        <v>700000</v>
      </c>
    </row>
    <row r="21" spans="1:11">
      <c r="A21" s="30" t="s">
        <v>238</v>
      </c>
      <c r="B21" s="44" t="s">
        <v>239</v>
      </c>
      <c r="C21" s="32">
        <f>3868771.8-678233.21-165109.36</f>
        <v>3025429.23</v>
      </c>
      <c r="D21" s="32">
        <f>2709000+300000</f>
        <v>3009000</v>
      </c>
      <c r="E21" s="32">
        <v>3000000</v>
      </c>
      <c r="F21" s="32">
        <v>3000000</v>
      </c>
      <c r="H21" s="220">
        <f>D17-11615560</f>
        <v>0</v>
      </c>
    </row>
    <row r="22" spans="1:11" ht="24">
      <c r="A22" s="30" t="s">
        <v>240</v>
      </c>
      <c r="B22" s="44" t="s">
        <v>241</v>
      </c>
      <c r="C22" s="32">
        <f>678233.21+165109.36</f>
        <v>843342.57</v>
      </c>
      <c r="D22" s="32">
        <v>792000</v>
      </c>
      <c r="E22" s="32">
        <v>800000</v>
      </c>
      <c r="F22" s="32">
        <v>800000</v>
      </c>
    </row>
    <row r="23" spans="1:11">
      <c r="A23" s="30" t="s">
        <v>242</v>
      </c>
      <c r="B23" s="44" t="s">
        <v>243</v>
      </c>
      <c r="C23" s="32">
        <v>316718.96999999997</v>
      </c>
      <c r="D23" s="32">
        <v>336000</v>
      </c>
      <c r="E23" s="32">
        <v>350000</v>
      </c>
      <c r="F23" s="32">
        <v>350000</v>
      </c>
    </row>
    <row r="24" spans="1:11">
      <c r="A24" s="30" t="s">
        <v>244</v>
      </c>
      <c r="B24" s="44" t="s">
        <v>245</v>
      </c>
      <c r="C24" s="32">
        <f>1588604-20000+45940.25-242662</f>
        <v>1371882.25</v>
      </c>
      <c r="D24" s="32">
        <f>1267370-1150+15380+223960</f>
        <v>1505560</v>
      </c>
      <c r="E24" s="32">
        <v>1500000</v>
      </c>
      <c r="F24" s="32">
        <v>1500000</v>
      </c>
    </row>
    <row r="25" spans="1:11">
      <c r="A25" s="41" t="s">
        <v>94</v>
      </c>
      <c r="B25" s="45" t="s">
        <v>246</v>
      </c>
      <c r="C25" s="43">
        <f>C26+C27</f>
        <v>1382646.53</v>
      </c>
      <c r="D25" s="43">
        <f t="shared" ref="D25:F25" si="9">D26+D27</f>
        <v>2318000</v>
      </c>
      <c r="E25" s="43">
        <f t="shared" si="9"/>
        <v>2250000</v>
      </c>
      <c r="F25" s="43">
        <f t="shared" si="9"/>
        <v>2350000</v>
      </c>
      <c r="K25" s="220"/>
    </row>
    <row r="26" spans="1:11">
      <c r="A26" s="30" t="s">
        <v>247</v>
      </c>
      <c r="B26" s="44" t="s">
        <v>248</v>
      </c>
      <c r="C26" s="32">
        <v>868633.97</v>
      </c>
      <c r="D26" s="32">
        <v>1590000</v>
      </c>
      <c r="E26" s="32">
        <v>1500000</v>
      </c>
      <c r="F26" s="32">
        <v>1600000</v>
      </c>
      <c r="K26" s="220"/>
    </row>
    <row r="27" spans="1:11">
      <c r="A27" s="30" t="s">
        <v>99</v>
      </c>
      <c r="B27" s="44" t="s">
        <v>249</v>
      </c>
      <c r="C27" s="32">
        <v>514012.56</v>
      </c>
      <c r="D27" s="32">
        <v>728000</v>
      </c>
      <c r="E27" s="32">
        <v>750000</v>
      </c>
      <c r="F27" s="32">
        <v>750000</v>
      </c>
      <c r="K27" s="220"/>
    </row>
    <row r="28" spans="1:11">
      <c r="A28" s="30" t="s">
        <v>250</v>
      </c>
      <c r="B28" s="44" t="s">
        <v>388</v>
      </c>
      <c r="C28" s="32">
        <v>174008.42</v>
      </c>
      <c r="D28" s="32">
        <v>132000</v>
      </c>
      <c r="E28" s="32">
        <v>140000</v>
      </c>
      <c r="F28" s="32">
        <v>150000</v>
      </c>
      <c r="K28" s="220"/>
    </row>
    <row r="29" spans="1:11">
      <c r="A29" s="26" t="s">
        <v>109</v>
      </c>
      <c r="B29" s="27" t="s">
        <v>251</v>
      </c>
      <c r="C29" s="28">
        <f>C30+C31+C32+C33</f>
        <v>24755730.630000003</v>
      </c>
      <c r="D29" s="28">
        <f t="shared" ref="D29:F29" si="10">D30+D31+D32+D33</f>
        <v>27972200</v>
      </c>
      <c r="E29" s="28">
        <f t="shared" si="10"/>
        <v>26410000</v>
      </c>
      <c r="F29" s="28">
        <f t="shared" si="10"/>
        <v>26960000</v>
      </c>
    </row>
    <row r="30" spans="1:11">
      <c r="A30" s="46" t="s">
        <v>111</v>
      </c>
      <c r="B30" s="47" t="s">
        <v>252</v>
      </c>
      <c r="C30" s="36">
        <f>893118.62+38240+71148</f>
        <v>1002506.62</v>
      </c>
      <c r="D30" s="36">
        <f>865000+150000+200000</f>
        <v>1215000</v>
      </c>
      <c r="E30" s="36">
        <v>1000000</v>
      </c>
      <c r="F30" s="36">
        <v>1000000</v>
      </c>
      <c r="K30" s="220"/>
    </row>
    <row r="31" spans="1:11">
      <c r="A31" s="46" t="s">
        <v>125</v>
      </c>
      <c r="B31" s="47" t="s">
        <v>253</v>
      </c>
      <c r="C31" s="36">
        <v>11200</v>
      </c>
      <c r="D31" s="36">
        <v>9600</v>
      </c>
      <c r="E31" s="36">
        <v>10000</v>
      </c>
      <c r="F31" s="36">
        <v>10000</v>
      </c>
    </row>
    <row r="32" spans="1:11" ht="24">
      <c r="A32" s="46" t="s">
        <v>181</v>
      </c>
      <c r="B32" s="48" t="s">
        <v>254</v>
      </c>
      <c r="C32" s="36">
        <v>21446473.48</v>
      </c>
      <c r="D32" s="36">
        <f>17400000+6000000+360000+60000+591600</f>
        <v>24411600</v>
      </c>
      <c r="E32" s="36">
        <f>23000000</f>
        <v>23000000</v>
      </c>
      <c r="F32" s="36">
        <v>23500000</v>
      </c>
    </row>
    <row r="33" spans="1:10">
      <c r="A33" s="46" t="s">
        <v>197</v>
      </c>
      <c r="B33" s="48" t="s">
        <v>255</v>
      </c>
      <c r="C33" s="36">
        <f>2355257+1374820+680863-2448801.47+333412</f>
        <v>2295550.5299999998</v>
      </c>
      <c r="D33" s="36">
        <f>1323097+808870+1903853+356520-2256340+200000</f>
        <v>2336000</v>
      </c>
      <c r="E33" s="36">
        <v>2400000</v>
      </c>
      <c r="F33" s="36">
        <v>2450000</v>
      </c>
    </row>
    <row r="34" spans="1:10">
      <c r="A34" s="26" t="s">
        <v>127</v>
      </c>
      <c r="B34" s="27" t="s">
        <v>256</v>
      </c>
      <c r="C34" s="36">
        <v>43393</v>
      </c>
      <c r="D34" s="36">
        <v>79200</v>
      </c>
      <c r="E34" s="36">
        <v>80000</v>
      </c>
      <c r="F34" s="36">
        <v>80000</v>
      </c>
    </row>
    <row r="35" spans="1:10">
      <c r="A35" s="30"/>
      <c r="B35" s="44" t="s">
        <v>257</v>
      </c>
      <c r="C35" s="32">
        <v>0</v>
      </c>
      <c r="D35" s="32">
        <v>0</v>
      </c>
      <c r="E35" s="32">
        <v>0</v>
      </c>
      <c r="F35" s="32">
        <v>0</v>
      </c>
    </row>
    <row r="36" spans="1:10">
      <c r="A36" s="26" t="s">
        <v>258</v>
      </c>
      <c r="B36" s="27" t="s">
        <v>259</v>
      </c>
      <c r="C36" s="28">
        <f>C37+C38+C39</f>
        <v>34023324.600000001</v>
      </c>
      <c r="D36" s="28">
        <f t="shared" ref="D36:F36" si="11">D37+D38+D39</f>
        <v>35890000</v>
      </c>
      <c r="E36" s="28">
        <f t="shared" si="11"/>
        <v>37240000</v>
      </c>
      <c r="F36" s="28">
        <f t="shared" si="11"/>
        <v>39240000</v>
      </c>
      <c r="I36">
        <f>E36*100/D36</f>
        <v>103.76149345221511</v>
      </c>
      <c r="J36">
        <f>F36*100/E36</f>
        <v>105.37056928034372</v>
      </c>
    </row>
    <row r="37" spans="1:10">
      <c r="A37" s="46" t="s">
        <v>260</v>
      </c>
      <c r="B37" s="47" t="s">
        <v>261</v>
      </c>
      <c r="C37" s="36">
        <v>29841184.239999998</v>
      </c>
      <c r="D37" s="36">
        <f>25600000+2250000+2256000+1100000+500000-36000</f>
        <v>31670000</v>
      </c>
      <c r="E37" s="36">
        <v>33000000</v>
      </c>
      <c r="F37" s="36">
        <v>34900000</v>
      </c>
    </row>
    <row r="38" spans="1:10">
      <c r="A38" s="46" t="s">
        <v>262</v>
      </c>
      <c r="B38" s="47" t="s">
        <v>263</v>
      </c>
      <c r="C38" s="36">
        <v>4127032.36</v>
      </c>
      <c r="D38" s="36">
        <f>2400000+800000+480000+500000</f>
        <v>4180000</v>
      </c>
      <c r="E38" s="36">
        <v>4200000</v>
      </c>
      <c r="F38" s="36">
        <v>4300000</v>
      </c>
    </row>
    <row r="39" spans="1:10">
      <c r="A39" s="46" t="s">
        <v>264</v>
      </c>
      <c r="B39" s="47" t="s">
        <v>265</v>
      </c>
      <c r="C39" s="36">
        <v>55108</v>
      </c>
      <c r="D39" s="36">
        <v>40000</v>
      </c>
      <c r="E39" s="36">
        <v>40000</v>
      </c>
      <c r="F39" s="36">
        <v>40000</v>
      </c>
    </row>
    <row r="40" spans="1:10" ht="24">
      <c r="A40" s="26" t="s">
        <v>266</v>
      </c>
      <c r="B40" s="27" t="s">
        <v>267</v>
      </c>
      <c r="C40" s="36">
        <f>C41+C42+C43</f>
        <v>5696323.04</v>
      </c>
      <c r="D40" s="36">
        <f t="shared" ref="D40:F40" si="12">D41+D42+D43</f>
        <v>6299000</v>
      </c>
      <c r="E40" s="36">
        <f t="shared" si="12"/>
        <v>6311000</v>
      </c>
      <c r="F40" s="36">
        <f t="shared" si="12"/>
        <v>6433500</v>
      </c>
    </row>
    <row r="41" spans="1:10">
      <c r="A41" s="30"/>
      <c r="B41" s="44" t="s">
        <v>268</v>
      </c>
      <c r="C41" s="32">
        <f>4699815.51+405125.62</f>
        <v>5104941.13</v>
      </c>
      <c r="D41" s="32">
        <f>4480770+300000-60000-420-344290+80000+504000+100000+400000</f>
        <v>5460060</v>
      </c>
      <c r="E41" s="32">
        <f>4260000+1228000</f>
        <v>5488000</v>
      </c>
      <c r="F41" s="32">
        <v>5600000</v>
      </c>
    </row>
    <row r="42" spans="1:10">
      <c r="A42" s="30"/>
      <c r="B42" s="44" t="s">
        <v>269</v>
      </c>
      <c r="C42" s="32">
        <f>499224.37+12540.54</f>
        <v>511764.91</v>
      </c>
      <c r="D42" s="32">
        <f>696250+60000</f>
        <v>756250</v>
      </c>
      <c r="E42" s="32">
        <f>640000+100000</f>
        <v>740000</v>
      </c>
      <c r="F42" s="32">
        <f>650000+100000</f>
        <v>750000</v>
      </c>
    </row>
    <row r="43" spans="1:10" ht="24">
      <c r="A43" s="30"/>
      <c r="B43" s="44" t="s">
        <v>270</v>
      </c>
      <c r="C43" s="32">
        <f>79517+100</f>
        <v>79617</v>
      </c>
      <c r="D43" s="32">
        <f>77690+5000</f>
        <v>82690</v>
      </c>
      <c r="E43" s="32">
        <v>83000</v>
      </c>
      <c r="F43" s="32">
        <v>83500</v>
      </c>
    </row>
    <row r="44" spans="1:10">
      <c r="A44" s="26" t="s">
        <v>271</v>
      </c>
      <c r="B44" s="27" t="s">
        <v>272</v>
      </c>
      <c r="C44" s="36">
        <f>431350.54+533526.07+60885.51+116093.97+4181</f>
        <v>1146037.0899999999</v>
      </c>
      <c r="D44" s="36">
        <f>442800+532800+55000+54000</f>
        <v>1084600</v>
      </c>
      <c r="E44" s="36">
        <v>1100000</v>
      </c>
      <c r="F44" s="36">
        <v>1100000</v>
      </c>
    </row>
    <row r="45" spans="1:10">
      <c r="A45" s="46"/>
      <c r="B45" s="49" t="s">
        <v>273</v>
      </c>
      <c r="C45" s="32">
        <v>10019.77</v>
      </c>
      <c r="D45" s="32">
        <v>36000</v>
      </c>
      <c r="E45" s="32">
        <v>8500</v>
      </c>
      <c r="F45" s="32">
        <v>8500</v>
      </c>
    </row>
    <row r="46" spans="1:10" ht="24">
      <c r="A46" s="26" t="s">
        <v>274</v>
      </c>
      <c r="B46" s="27" t="s">
        <v>275</v>
      </c>
      <c r="C46" s="36">
        <v>0</v>
      </c>
      <c r="D46" s="36">
        <v>0</v>
      </c>
      <c r="E46" s="36">
        <v>0</v>
      </c>
      <c r="F46" s="36">
        <v>0</v>
      </c>
    </row>
    <row r="47" spans="1:10">
      <c r="A47" s="38" t="s">
        <v>129</v>
      </c>
      <c r="B47" s="39" t="s">
        <v>276</v>
      </c>
      <c r="C47" s="40">
        <f>C5-C15</f>
        <v>-6656363.0000000149</v>
      </c>
      <c r="D47" s="40">
        <f t="shared" ref="D47:F47" si="13">D5-D15</f>
        <v>-11102900</v>
      </c>
      <c r="E47" s="40">
        <f t="shared" si="13"/>
        <v>-7191000</v>
      </c>
      <c r="F47" s="40">
        <f t="shared" si="13"/>
        <v>-7113500</v>
      </c>
    </row>
    <row r="48" spans="1:10">
      <c r="A48" s="38" t="s">
        <v>131</v>
      </c>
      <c r="B48" s="39" t="s">
        <v>277</v>
      </c>
      <c r="C48" s="40">
        <f>C49+C50+C53+C54</f>
        <v>7727267.8799999999</v>
      </c>
      <c r="D48" s="40">
        <f t="shared" ref="D48:F48" si="14">D49+D50+D53+D54</f>
        <v>9267400</v>
      </c>
      <c r="E48" s="40">
        <f t="shared" si="14"/>
        <v>7345000</v>
      </c>
      <c r="F48" s="40">
        <f t="shared" si="14"/>
        <v>7325000</v>
      </c>
    </row>
    <row r="49" spans="1:6" ht="24">
      <c r="A49" s="41" t="s">
        <v>278</v>
      </c>
      <c r="B49" s="42" t="s">
        <v>279</v>
      </c>
      <c r="C49" s="36">
        <v>0</v>
      </c>
      <c r="D49" s="36">
        <v>0</v>
      </c>
      <c r="E49" s="36">
        <v>0</v>
      </c>
      <c r="F49" s="36">
        <v>0</v>
      </c>
    </row>
    <row r="50" spans="1:6">
      <c r="A50" s="41" t="s">
        <v>280</v>
      </c>
      <c r="B50" s="42" t="s">
        <v>281</v>
      </c>
      <c r="C50" s="36">
        <f>C51+C52</f>
        <v>2020201.97</v>
      </c>
      <c r="D50" s="36">
        <f>D51+D52</f>
        <v>1773300</v>
      </c>
      <c r="E50" s="36">
        <f t="shared" ref="E50:F50" si="15">E51+E52</f>
        <v>1875000</v>
      </c>
      <c r="F50" s="36">
        <f t="shared" si="15"/>
        <v>1925000</v>
      </c>
    </row>
    <row r="51" spans="1:6">
      <c r="A51" s="50"/>
      <c r="B51" s="51" t="s">
        <v>207</v>
      </c>
      <c r="C51" s="52">
        <f>1343896.26+419098.24+169299.83</f>
        <v>1932294.33</v>
      </c>
      <c r="D51" s="52">
        <f>1320000+432000</f>
        <v>1752000</v>
      </c>
      <c r="E51" s="52">
        <v>1850000</v>
      </c>
      <c r="F51" s="52">
        <v>1900000</v>
      </c>
    </row>
    <row r="52" spans="1:6" ht="24">
      <c r="A52" s="41"/>
      <c r="B52" s="44" t="s">
        <v>282</v>
      </c>
      <c r="C52" s="36">
        <f>87907.64</f>
        <v>87907.64</v>
      </c>
      <c r="D52" s="36">
        <v>21300</v>
      </c>
      <c r="E52" s="36">
        <v>25000</v>
      </c>
      <c r="F52" s="36">
        <v>25000</v>
      </c>
    </row>
    <row r="53" spans="1:6" ht="24.75" thickBot="1">
      <c r="A53" s="53" t="s">
        <v>283</v>
      </c>
      <c r="B53" s="54" t="s">
        <v>284</v>
      </c>
      <c r="C53" s="55">
        <v>0</v>
      </c>
      <c r="D53" s="55">
        <v>0</v>
      </c>
      <c r="E53" s="55">
        <v>0</v>
      </c>
      <c r="F53" s="55">
        <v>0</v>
      </c>
    </row>
    <row r="54" spans="1:6">
      <c r="A54" s="56" t="s">
        <v>285</v>
      </c>
      <c r="B54" s="57" t="s">
        <v>286</v>
      </c>
      <c r="C54" s="58">
        <f>C55+C56</f>
        <v>5707065.9100000001</v>
      </c>
      <c r="D54" s="58">
        <f t="shared" ref="D54:F54" si="16">D55+D56</f>
        <v>7494100</v>
      </c>
      <c r="E54" s="58">
        <f t="shared" si="16"/>
        <v>5470000</v>
      </c>
      <c r="F54" s="58">
        <f t="shared" si="16"/>
        <v>5400000</v>
      </c>
    </row>
    <row r="55" spans="1:6">
      <c r="A55" s="50"/>
      <c r="B55" s="59" t="s">
        <v>287</v>
      </c>
      <c r="C55" s="52">
        <f>53932.68+134843.24+45838+169570.82+496035.26+1994454.43</f>
        <v>2894674.4299999997</v>
      </c>
      <c r="D55" s="52">
        <f>48000+3498100+228000</f>
        <v>3774100</v>
      </c>
      <c r="E55" s="52">
        <v>1600000</v>
      </c>
      <c r="F55" s="52">
        <v>1500000</v>
      </c>
    </row>
    <row r="56" spans="1:6" ht="48">
      <c r="A56" s="41"/>
      <c r="B56" s="44" t="s">
        <v>288</v>
      </c>
      <c r="C56" s="36">
        <v>2812391.48</v>
      </c>
      <c r="D56" s="36">
        <v>3720000</v>
      </c>
      <c r="E56" s="36">
        <v>3870000</v>
      </c>
      <c r="F56" s="36">
        <v>3900000</v>
      </c>
    </row>
    <row r="57" spans="1:6">
      <c r="A57" s="38" t="s">
        <v>289</v>
      </c>
      <c r="B57" s="39" t="s">
        <v>290</v>
      </c>
      <c r="C57" s="40">
        <f>C58+C59+C60</f>
        <v>738705.15</v>
      </c>
      <c r="D57" s="40">
        <f t="shared" ref="D57:F57" si="17">D58+D59+D60</f>
        <v>196110</v>
      </c>
      <c r="E57" s="40">
        <f t="shared" si="17"/>
        <v>200000</v>
      </c>
      <c r="F57" s="40">
        <f t="shared" si="17"/>
        <v>200000</v>
      </c>
    </row>
    <row r="58" spans="1:6" ht="24">
      <c r="A58" s="41" t="s">
        <v>291</v>
      </c>
      <c r="B58" s="42" t="s">
        <v>292</v>
      </c>
      <c r="C58" s="36">
        <v>0</v>
      </c>
      <c r="D58" s="36">
        <v>0</v>
      </c>
      <c r="E58" s="36">
        <v>0</v>
      </c>
      <c r="F58" s="36">
        <v>0</v>
      </c>
    </row>
    <row r="59" spans="1:6" ht="24">
      <c r="A59" s="41" t="s">
        <v>293</v>
      </c>
      <c r="B59" s="42" t="s">
        <v>294</v>
      </c>
      <c r="C59" s="36">
        <v>0</v>
      </c>
      <c r="D59" s="36">
        <v>0</v>
      </c>
      <c r="E59" s="36">
        <v>0</v>
      </c>
      <c r="F59" s="36">
        <v>0</v>
      </c>
    </row>
    <row r="60" spans="1:6">
      <c r="A60" s="41" t="s">
        <v>295</v>
      </c>
      <c r="B60" s="42" t="s">
        <v>296</v>
      </c>
      <c r="C60" s="36">
        <v>738705.15</v>
      </c>
      <c r="D60" s="36">
        <f>266560-70450</f>
        <v>196110</v>
      </c>
      <c r="E60" s="36">
        <v>200000</v>
      </c>
      <c r="F60" s="36">
        <v>200000</v>
      </c>
    </row>
    <row r="61" spans="1:6" ht="24">
      <c r="A61" s="38" t="s">
        <v>297</v>
      </c>
      <c r="B61" s="39" t="s">
        <v>298</v>
      </c>
      <c r="C61" s="40">
        <f>C47+C48-C57</f>
        <v>332199.72999998496</v>
      </c>
      <c r="D61" s="40">
        <f t="shared" ref="D61:F61" si="18">D47+D48-D57</f>
        <v>-2031610</v>
      </c>
      <c r="E61" s="40">
        <f t="shared" si="18"/>
        <v>-46000</v>
      </c>
      <c r="F61" s="40">
        <f t="shared" si="18"/>
        <v>11500</v>
      </c>
    </row>
    <row r="62" spans="1:6">
      <c r="A62" s="38" t="s">
        <v>299</v>
      </c>
      <c r="B62" s="39" t="s">
        <v>300</v>
      </c>
      <c r="C62" s="40">
        <f>C68+C73</f>
        <v>264991.96999999997</v>
      </c>
      <c r="D62" s="40">
        <f t="shared" ref="D62:F62" si="19">D68</f>
        <v>160000</v>
      </c>
      <c r="E62" s="40">
        <f t="shared" si="19"/>
        <v>60000</v>
      </c>
      <c r="F62" s="40">
        <f t="shared" si="19"/>
        <v>40000</v>
      </c>
    </row>
    <row r="63" spans="1:6">
      <c r="A63" s="41" t="s">
        <v>301</v>
      </c>
      <c r="B63" s="42" t="s">
        <v>302</v>
      </c>
      <c r="C63" s="43">
        <v>0</v>
      </c>
      <c r="D63" s="43">
        <v>0</v>
      </c>
      <c r="E63" s="43">
        <v>0</v>
      </c>
      <c r="F63" s="43">
        <v>0</v>
      </c>
    </row>
    <row r="64" spans="1:6">
      <c r="A64" s="30" t="s">
        <v>303</v>
      </c>
      <c r="B64" s="60" t="s">
        <v>217</v>
      </c>
      <c r="C64" s="32">
        <v>0</v>
      </c>
      <c r="D64" s="32">
        <v>0</v>
      </c>
      <c r="E64" s="32">
        <v>0</v>
      </c>
      <c r="F64" s="32">
        <v>0</v>
      </c>
    </row>
    <row r="65" spans="1:6" ht="24">
      <c r="A65" s="30" t="s">
        <v>304</v>
      </c>
      <c r="B65" s="44" t="s">
        <v>305</v>
      </c>
      <c r="C65" s="32">
        <v>0</v>
      </c>
      <c r="D65" s="32">
        <v>0</v>
      </c>
      <c r="E65" s="32">
        <v>0</v>
      </c>
      <c r="F65" s="32">
        <v>0</v>
      </c>
    </row>
    <row r="66" spans="1:6">
      <c r="A66" s="30" t="s">
        <v>306</v>
      </c>
      <c r="B66" s="60" t="s">
        <v>307</v>
      </c>
      <c r="C66" s="32">
        <v>0</v>
      </c>
      <c r="D66" s="32">
        <v>0</v>
      </c>
      <c r="E66" s="32">
        <v>0</v>
      </c>
      <c r="F66" s="32">
        <v>0</v>
      </c>
    </row>
    <row r="67" spans="1:6" ht="24">
      <c r="A67" s="30" t="s">
        <v>308</v>
      </c>
      <c r="B67" s="44" t="s">
        <v>305</v>
      </c>
      <c r="C67" s="32">
        <v>0</v>
      </c>
      <c r="D67" s="32">
        <v>0</v>
      </c>
      <c r="E67" s="32">
        <v>0</v>
      </c>
      <c r="F67" s="32">
        <v>0</v>
      </c>
    </row>
    <row r="68" spans="1:6">
      <c r="A68" s="41" t="s">
        <v>309</v>
      </c>
      <c r="B68" s="42" t="s">
        <v>310</v>
      </c>
      <c r="C68" s="36">
        <v>49255.91</v>
      </c>
      <c r="D68" s="36">
        <v>160000</v>
      </c>
      <c r="E68" s="36">
        <v>60000</v>
      </c>
      <c r="F68" s="36">
        <v>40000</v>
      </c>
    </row>
    <row r="69" spans="1:6">
      <c r="A69" s="30" t="s">
        <v>311</v>
      </c>
      <c r="B69" s="61" t="s">
        <v>312</v>
      </c>
      <c r="C69" s="32">
        <v>0</v>
      </c>
      <c r="D69" s="32">
        <v>0</v>
      </c>
      <c r="E69" s="32">
        <v>0</v>
      </c>
      <c r="F69" s="32">
        <v>0</v>
      </c>
    </row>
    <row r="70" spans="1:6" ht="24">
      <c r="A70" s="41" t="s">
        <v>313</v>
      </c>
      <c r="B70" s="42" t="s">
        <v>314</v>
      </c>
      <c r="C70" s="36">
        <v>0</v>
      </c>
      <c r="D70" s="36">
        <v>0</v>
      </c>
      <c r="E70" s="36">
        <v>0</v>
      </c>
      <c r="F70" s="36">
        <v>0</v>
      </c>
    </row>
    <row r="71" spans="1:6">
      <c r="A71" s="30" t="s">
        <v>315</v>
      </c>
      <c r="B71" s="31" t="s">
        <v>49</v>
      </c>
      <c r="C71" s="36">
        <v>0</v>
      </c>
      <c r="D71" s="36">
        <v>0</v>
      </c>
      <c r="E71" s="36">
        <v>0</v>
      </c>
      <c r="F71" s="36">
        <v>0</v>
      </c>
    </row>
    <row r="72" spans="1:6" ht="24">
      <c r="A72" s="41" t="s">
        <v>316</v>
      </c>
      <c r="B72" s="42" t="s">
        <v>317</v>
      </c>
      <c r="C72" s="36">
        <v>0</v>
      </c>
      <c r="D72" s="36">
        <v>0</v>
      </c>
      <c r="E72" s="36">
        <v>0</v>
      </c>
      <c r="F72" s="36">
        <v>0</v>
      </c>
    </row>
    <row r="73" spans="1:6">
      <c r="A73" s="41" t="s">
        <v>318</v>
      </c>
      <c r="B73" s="42" t="s">
        <v>319</v>
      </c>
      <c r="C73" s="36">
        <v>215736.06</v>
      </c>
      <c r="D73" s="36">
        <v>0</v>
      </c>
      <c r="E73" s="36">
        <v>0</v>
      </c>
      <c r="F73" s="36">
        <v>0</v>
      </c>
    </row>
    <row r="74" spans="1:6">
      <c r="A74" s="38" t="s">
        <v>320</v>
      </c>
      <c r="B74" s="39" t="s">
        <v>321</v>
      </c>
      <c r="C74" s="40">
        <f>C75</f>
        <v>51360.85</v>
      </c>
      <c r="D74" s="40">
        <f t="shared" ref="D74:F74" si="20">D75</f>
        <v>10000</v>
      </c>
      <c r="E74" s="40">
        <f t="shared" si="20"/>
        <v>10000</v>
      </c>
      <c r="F74" s="40">
        <f t="shared" si="20"/>
        <v>10000</v>
      </c>
    </row>
    <row r="75" spans="1:6">
      <c r="A75" s="41" t="s">
        <v>322</v>
      </c>
      <c r="B75" s="42" t="s">
        <v>323</v>
      </c>
      <c r="C75" s="36">
        <v>51360.85</v>
      </c>
      <c r="D75" s="36">
        <v>10000</v>
      </c>
      <c r="E75" s="36">
        <v>10000</v>
      </c>
      <c r="F75" s="36">
        <v>10000</v>
      </c>
    </row>
    <row r="76" spans="1:6">
      <c r="A76" s="30" t="s">
        <v>324</v>
      </c>
      <c r="B76" s="61" t="s">
        <v>325</v>
      </c>
      <c r="C76" s="32">
        <v>0</v>
      </c>
      <c r="D76" s="32">
        <v>0</v>
      </c>
      <c r="E76" s="32">
        <v>0</v>
      </c>
      <c r="F76" s="32">
        <v>0</v>
      </c>
    </row>
    <row r="77" spans="1:6" ht="24">
      <c r="A77" s="41" t="s">
        <v>326</v>
      </c>
      <c r="B77" s="42" t="s">
        <v>327</v>
      </c>
      <c r="C77" s="36">
        <v>0</v>
      </c>
      <c r="D77" s="36">
        <v>0</v>
      </c>
      <c r="E77" s="36">
        <v>0</v>
      </c>
      <c r="F77" s="36">
        <v>0</v>
      </c>
    </row>
    <row r="78" spans="1:6">
      <c r="A78" s="30" t="s">
        <v>328</v>
      </c>
      <c r="B78" s="61" t="s">
        <v>49</v>
      </c>
      <c r="C78" s="36">
        <v>0</v>
      </c>
      <c r="D78" s="36">
        <v>0</v>
      </c>
      <c r="E78" s="36">
        <v>0</v>
      </c>
      <c r="F78" s="36">
        <v>0</v>
      </c>
    </row>
    <row r="79" spans="1:6" ht="24">
      <c r="A79" s="41" t="s">
        <v>329</v>
      </c>
      <c r="B79" s="42" t="s">
        <v>317</v>
      </c>
      <c r="C79" s="36">
        <v>0</v>
      </c>
      <c r="D79" s="36">
        <v>0</v>
      </c>
      <c r="E79" s="36">
        <v>0</v>
      </c>
      <c r="F79" s="36">
        <v>0</v>
      </c>
    </row>
    <row r="80" spans="1:6">
      <c r="A80" s="62" t="s">
        <v>330</v>
      </c>
      <c r="B80" s="63" t="s">
        <v>319</v>
      </c>
      <c r="C80" s="36"/>
      <c r="D80" s="36">
        <v>0</v>
      </c>
      <c r="E80" s="36">
        <v>0</v>
      </c>
      <c r="F80" s="36">
        <v>0</v>
      </c>
    </row>
    <row r="81" spans="1:6">
      <c r="A81" s="38" t="s">
        <v>331</v>
      </c>
      <c r="B81" s="39" t="s">
        <v>332</v>
      </c>
      <c r="C81" s="64">
        <f>C61+C62-C74</f>
        <v>545830.84999998496</v>
      </c>
      <c r="D81" s="64">
        <f t="shared" ref="D81:F81" si="21">D61+D62-D74</f>
        <v>-1881610</v>
      </c>
      <c r="E81" s="64">
        <f t="shared" si="21"/>
        <v>4000</v>
      </c>
      <c r="F81" s="64">
        <f t="shared" si="21"/>
        <v>41500</v>
      </c>
    </row>
    <row r="82" spans="1:6">
      <c r="A82" s="38" t="s">
        <v>333</v>
      </c>
      <c r="B82" s="39" t="s">
        <v>334</v>
      </c>
      <c r="C82" s="65">
        <v>30234</v>
      </c>
      <c r="D82" s="65">
        <v>0</v>
      </c>
      <c r="E82" s="65">
        <v>0</v>
      </c>
      <c r="F82" s="65">
        <v>0</v>
      </c>
    </row>
    <row r="83" spans="1:6" ht="24">
      <c r="A83" s="66" t="s">
        <v>335</v>
      </c>
      <c r="B83" s="67" t="s">
        <v>336</v>
      </c>
      <c r="C83" s="68">
        <v>0</v>
      </c>
      <c r="D83" s="68">
        <v>0</v>
      </c>
      <c r="E83" s="68">
        <v>0</v>
      </c>
      <c r="F83" s="68">
        <v>0</v>
      </c>
    </row>
    <row r="84" spans="1:6" ht="15" thickBot="1">
      <c r="A84" s="69" t="s">
        <v>337</v>
      </c>
      <c r="B84" s="70" t="s">
        <v>338</v>
      </c>
      <c r="C84" s="71">
        <f>C81-C82</f>
        <v>515596.84999998496</v>
      </c>
      <c r="D84" s="71">
        <f t="shared" ref="D84:F84" si="22">D81-D82</f>
        <v>-1881610</v>
      </c>
      <c r="E84" s="71">
        <f t="shared" si="22"/>
        <v>4000</v>
      </c>
      <c r="F84" s="71">
        <f t="shared" si="22"/>
        <v>41500</v>
      </c>
    </row>
    <row r="85" spans="1:6">
      <c r="A85" s="224"/>
      <c r="B85" s="224"/>
      <c r="C85" s="29"/>
      <c r="D85" s="29"/>
      <c r="E85" s="29"/>
      <c r="F85" s="1"/>
    </row>
    <row r="86" spans="1:6" ht="15" thickBot="1">
      <c r="A86" s="225"/>
      <c r="B86" s="225"/>
      <c r="C86" s="29"/>
      <c r="D86" s="29"/>
      <c r="E86" s="29"/>
      <c r="F86" s="1"/>
    </row>
    <row r="87" spans="1:6">
      <c r="A87" s="72" t="s">
        <v>339</v>
      </c>
      <c r="B87" s="73" t="s">
        <v>1</v>
      </c>
      <c r="C87" s="74">
        <v>2022</v>
      </c>
      <c r="D87" s="74">
        <v>2023</v>
      </c>
      <c r="E87" s="74">
        <v>2024</v>
      </c>
      <c r="F87" s="162">
        <v>2025</v>
      </c>
    </row>
    <row r="88" spans="1:6">
      <c r="A88" s="75">
        <v>1</v>
      </c>
      <c r="B88" s="76" t="s">
        <v>340</v>
      </c>
      <c r="C88" s="77">
        <f>C5+C48+C62</f>
        <v>80348519.75</v>
      </c>
      <c r="D88" s="77">
        <f t="shared" ref="D88:F88" si="23">D5+D48+D62</f>
        <v>85801060</v>
      </c>
      <c r="E88" s="77">
        <f t="shared" si="23"/>
        <v>87555000</v>
      </c>
      <c r="F88" s="78">
        <f t="shared" si="23"/>
        <v>90615000</v>
      </c>
    </row>
    <row r="89" spans="1:6" ht="15" thickBot="1">
      <c r="A89" s="79">
        <v>2</v>
      </c>
      <c r="B89" s="80" t="s">
        <v>341</v>
      </c>
      <c r="C89" s="81">
        <f>C15+C57+C74</f>
        <v>79802688.900000021</v>
      </c>
      <c r="D89" s="81">
        <f t="shared" ref="D89:F89" si="24">D15+D57+D74</f>
        <v>87682670</v>
      </c>
      <c r="E89" s="81">
        <f t="shared" si="24"/>
        <v>87551000</v>
      </c>
      <c r="F89" s="82">
        <f t="shared" si="24"/>
        <v>90573500</v>
      </c>
    </row>
  </sheetData>
  <mergeCells count="2">
    <mergeCell ref="A85:B85"/>
    <mergeCell ref="A86:B86"/>
  </mergeCells>
  <printOptions horizontalCentered="1"/>
  <pageMargins left="0" right="0" top="0.39370078740157483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0F048-BE67-4AD1-A1C3-8A28AD1EC865}">
  <dimension ref="A2:L51"/>
  <sheetViews>
    <sheetView zoomScale="112" zoomScaleNormal="112" workbookViewId="0">
      <selection activeCell="A2" sqref="A2:E43"/>
    </sheetView>
  </sheetViews>
  <sheetFormatPr defaultRowHeight="12"/>
  <cols>
    <col min="1" max="1" width="5" style="170" customWidth="1"/>
    <col min="2" max="2" width="89.25" style="171" customWidth="1"/>
    <col min="3" max="3" width="12.375" style="171" customWidth="1"/>
    <col min="4" max="16384" width="9" style="171"/>
  </cols>
  <sheetData>
    <row r="2" spans="1:5">
      <c r="B2" s="171" t="s">
        <v>385</v>
      </c>
    </row>
    <row r="3" spans="1:5" ht="6.75" customHeight="1"/>
    <row r="4" spans="1:5">
      <c r="B4" s="172" t="s">
        <v>374</v>
      </c>
    </row>
    <row r="5" spans="1:5" ht="12.75" thickBot="1"/>
    <row r="6" spans="1:5" ht="14.25" customHeight="1">
      <c r="A6" s="228" t="s">
        <v>350</v>
      </c>
      <c r="B6" s="231" t="s">
        <v>351</v>
      </c>
      <c r="C6" s="226" t="s">
        <v>371</v>
      </c>
      <c r="D6" s="226"/>
      <c r="E6" s="227"/>
    </row>
    <row r="7" spans="1:5">
      <c r="A7" s="229"/>
      <c r="B7" s="232"/>
      <c r="C7" s="173">
        <v>2022</v>
      </c>
      <c r="D7" s="173">
        <v>2023</v>
      </c>
      <c r="E7" s="174">
        <v>2024</v>
      </c>
    </row>
    <row r="8" spans="1:5" ht="12.75" thickBot="1">
      <c r="A8" s="230"/>
      <c r="B8" s="233"/>
      <c r="C8" s="234" t="s">
        <v>373</v>
      </c>
      <c r="D8" s="234"/>
      <c r="E8" s="235"/>
    </row>
    <row r="9" spans="1:5" ht="12.75" thickBot="1">
      <c r="A9" s="175"/>
      <c r="B9" s="176" t="s">
        <v>375</v>
      </c>
      <c r="C9" s="177"/>
      <c r="D9" s="177"/>
      <c r="E9" s="178"/>
    </row>
    <row r="10" spans="1:5">
      <c r="A10" s="179"/>
      <c r="B10" s="180" t="s">
        <v>352</v>
      </c>
      <c r="C10" s="181"/>
      <c r="D10" s="182"/>
      <c r="E10" s="183"/>
    </row>
    <row r="11" spans="1:5">
      <c r="A11" s="184">
        <v>1</v>
      </c>
      <c r="B11" s="185" t="s">
        <v>370</v>
      </c>
      <c r="C11" s="186">
        <v>2000000</v>
      </c>
      <c r="D11" s="186"/>
      <c r="E11" s="187"/>
    </row>
    <row r="12" spans="1:5">
      <c r="A12" s="184">
        <v>2</v>
      </c>
      <c r="B12" s="185" t="s">
        <v>353</v>
      </c>
      <c r="C12" s="186">
        <v>4812000</v>
      </c>
      <c r="D12" s="186">
        <v>9624000</v>
      </c>
      <c r="E12" s="187">
        <v>9624000</v>
      </c>
    </row>
    <row r="13" spans="1:5">
      <c r="A13" s="184">
        <v>3</v>
      </c>
      <c r="B13" s="185" t="s">
        <v>362</v>
      </c>
      <c r="C13" s="186">
        <v>870000</v>
      </c>
      <c r="D13" s="186"/>
      <c r="E13" s="187"/>
    </row>
    <row r="14" spans="1:5">
      <c r="A14" s="184">
        <v>4</v>
      </c>
      <c r="B14" s="185" t="s">
        <v>363</v>
      </c>
      <c r="C14" s="186">
        <v>150000</v>
      </c>
      <c r="D14" s="186"/>
      <c r="E14" s="187"/>
    </row>
    <row r="15" spans="1:5">
      <c r="A15" s="184"/>
      <c r="B15" s="188" t="s">
        <v>355</v>
      </c>
      <c r="C15" s="189">
        <f>SUM(C11:C14)</f>
        <v>7832000</v>
      </c>
      <c r="D15" s="189">
        <f t="shared" ref="D15:E15" si="0">SUM(D11:D14)</f>
        <v>9624000</v>
      </c>
      <c r="E15" s="190">
        <f t="shared" si="0"/>
        <v>9624000</v>
      </c>
    </row>
    <row r="16" spans="1:5">
      <c r="A16" s="184"/>
      <c r="B16" s="188" t="s">
        <v>354</v>
      </c>
      <c r="C16" s="186"/>
      <c r="D16" s="186"/>
      <c r="E16" s="187"/>
    </row>
    <row r="17" spans="1:12">
      <c r="A17" s="184">
        <v>1</v>
      </c>
      <c r="B17" s="185" t="s">
        <v>372</v>
      </c>
      <c r="C17" s="186">
        <v>150000</v>
      </c>
      <c r="D17" s="186"/>
      <c r="E17" s="187"/>
    </row>
    <row r="18" spans="1:12">
      <c r="A18" s="184">
        <v>2</v>
      </c>
      <c r="B18" s="185" t="s">
        <v>356</v>
      </c>
      <c r="C18" s="186">
        <v>1500000</v>
      </c>
      <c r="D18" s="186"/>
      <c r="E18" s="187"/>
    </row>
    <row r="19" spans="1:12">
      <c r="A19" s="184">
        <v>3</v>
      </c>
      <c r="B19" s="185" t="s">
        <v>360</v>
      </c>
      <c r="C19" s="186">
        <v>1435800</v>
      </c>
      <c r="D19" s="186">
        <v>2871600</v>
      </c>
      <c r="E19" s="187">
        <v>2871600</v>
      </c>
    </row>
    <row r="20" spans="1:12">
      <c r="A20" s="184">
        <v>4</v>
      </c>
      <c r="B20" s="185" t="s">
        <v>357</v>
      </c>
      <c r="C20" s="186">
        <v>1100000</v>
      </c>
      <c r="D20" s="186"/>
      <c r="E20" s="187"/>
    </row>
    <row r="21" spans="1:12">
      <c r="A21" s="184">
        <v>5</v>
      </c>
      <c r="B21" s="185" t="s">
        <v>358</v>
      </c>
      <c r="C21" s="186">
        <v>2256000</v>
      </c>
      <c r="D21" s="186">
        <v>4512000</v>
      </c>
      <c r="E21" s="187">
        <v>4512000</v>
      </c>
    </row>
    <row r="22" spans="1:12">
      <c r="A22" s="184">
        <v>6</v>
      </c>
      <c r="B22" s="185" t="s">
        <v>359</v>
      </c>
      <c r="C22" s="186">
        <v>664000</v>
      </c>
      <c r="D22" s="186">
        <v>1328000</v>
      </c>
      <c r="E22" s="187">
        <v>1328000</v>
      </c>
    </row>
    <row r="23" spans="1:12">
      <c r="A23" s="184">
        <v>7</v>
      </c>
      <c r="B23" s="185" t="s">
        <v>361</v>
      </c>
      <c r="C23" s="186">
        <v>480000</v>
      </c>
      <c r="D23" s="186">
        <v>960000</v>
      </c>
      <c r="E23" s="187">
        <v>960000</v>
      </c>
    </row>
    <row r="24" spans="1:12">
      <c r="A24" s="184">
        <v>8</v>
      </c>
      <c r="B24" s="185" t="s">
        <v>364</v>
      </c>
      <c r="C24" s="186">
        <v>190000</v>
      </c>
      <c r="D24" s="186"/>
      <c r="E24" s="187"/>
    </row>
    <row r="25" spans="1:12">
      <c r="A25" s="184">
        <v>9</v>
      </c>
      <c r="B25" s="185" t="s">
        <v>365</v>
      </c>
      <c r="C25" s="186">
        <v>17000</v>
      </c>
      <c r="D25" s="186"/>
      <c r="E25" s="187"/>
    </row>
    <row r="26" spans="1:12">
      <c r="A26" s="184"/>
      <c r="B26" s="188" t="s">
        <v>366</v>
      </c>
      <c r="C26" s="189">
        <f>SUM(C17:C25)</f>
        <v>7792800</v>
      </c>
      <c r="D26" s="189">
        <f t="shared" ref="D26:E26" si="1">SUM(D17:D25)</f>
        <v>9671600</v>
      </c>
      <c r="E26" s="190">
        <f t="shared" si="1"/>
        <v>9671600</v>
      </c>
    </row>
    <row r="27" spans="1:12">
      <c r="A27" s="184"/>
      <c r="B27" s="185"/>
      <c r="C27" s="186"/>
      <c r="D27" s="186"/>
      <c r="E27" s="187"/>
    </row>
    <row r="28" spans="1:12">
      <c r="A28" s="184">
        <v>1</v>
      </c>
      <c r="B28" s="185" t="s">
        <v>367</v>
      </c>
      <c r="C28" s="186">
        <f>C15-C26</f>
        <v>39200</v>
      </c>
      <c r="D28" s="186">
        <f t="shared" ref="D28:E28" si="2">D15-D26</f>
        <v>-47600</v>
      </c>
      <c r="E28" s="187">
        <f t="shared" si="2"/>
        <v>-47600</v>
      </c>
    </row>
    <row r="29" spans="1:12" ht="12.75" thickBot="1">
      <c r="A29" s="191">
        <v>2</v>
      </c>
      <c r="B29" s="192" t="s">
        <v>368</v>
      </c>
      <c r="C29" s="193">
        <v>62840</v>
      </c>
      <c r="D29" s="193">
        <v>60700</v>
      </c>
      <c r="E29" s="194">
        <v>65700</v>
      </c>
    </row>
    <row r="30" spans="1:12" s="199" customFormat="1" ht="22.5" customHeight="1" thickBot="1">
      <c r="A30" s="195">
        <v>3</v>
      </c>
      <c r="B30" s="196" t="s">
        <v>369</v>
      </c>
      <c r="C30" s="197">
        <f>C28+C29</f>
        <v>102040</v>
      </c>
      <c r="D30" s="197">
        <f t="shared" ref="D30:E30" si="3">D28+D29</f>
        <v>13100</v>
      </c>
      <c r="E30" s="198">
        <f t="shared" si="3"/>
        <v>18100</v>
      </c>
      <c r="L30" s="171"/>
    </row>
    <row r="31" spans="1:12" ht="16.5" customHeight="1" thickBot="1">
      <c r="A31" s="200"/>
      <c r="B31" s="201" t="s">
        <v>376</v>
      </c>
      <c r="C31" s="202"/>
      <c r="D31" s="203"/>
      <c r="E31" s="204"/>
      <c r="L31" s="199"/>
    </row>
    <row r="32" spans="1:12">
      <c r="A32" s="205"/>
      <c r="B32" s="206" t="s">
        <v>377</v>
      </c>
      <c r="C32" s="207">
        <v>1500000</v>
      </c>
      <c r="D32" s="207">
        <v>1500000</v>
      </c>
      <c r="E32" s="208">
        <v>1500000</v>
      </c>
    </row>
    <row r="33" spans="1:5">
      <c r="A33" s="184"/>
      <c r="B33" s="185" t="s">
        <v>378</v>
      </c>
      <c r="C33" s="186"/>
      <c r="D33" s="185"/>
      <c r="E33" s="209"/>
    </row>
    <row r="34" spans="1:5">
      <c r="A34" s="184"/>
      <c r="B34" s="185" t="s">
        <v>84</v>
      </c>
      <c r="C34" s="186">
        <v>500000</v>
      </c>
      <c r="D34" s="186">
        <v>500000</v>
      </c>
      <c r="E34" s="187">
        <v>500000</v>
      </c>
    </row>
    <row r="35" spans="1:5">
      <c r="A35" s="184"/>
      <c r="B35" s="185" t="s">
        <v>379</v>
      </c>
      <c r="C35" s="186">
        <v>1000000</v>
      </c>
      <c r="D35" s="186">
        <v>1000000</v>
      </c>
      <c r="E35" s="187">
        <v>1000000</v>
      </c>
    </row>
    <row r="36" spans="1:5">
      <c r="A36" s="184"/>
      <c r="B36" s="185"/>
      <c r="C36" s="186"/>
      <c r="D36" s="185"/>
      <c r="E36" s="209"/>
    </row>
    <row r="37" spans="1:5">
      <c r="A37" s="184"/>
      <c r="B37" s="188" t="s">
        <v>380</v>
      </c>
      <c r="C37" s="189">
        <v>1500000</v>
      </c>
      <c r="D37" s="189">
        <v>1500000</v>
      </c>
      <c r="E37" s="210">
        <v>1000000</v>
      </c>
    </row>
    <row r="38" spans="1:5">
      <c r="A38" s="184"/>
      <c r="B38" s="185" t="s">
        <v>378</v>
      </c>
      <c r="C38" s="186"/>
      <c r="D38" s="185"/>
      <c r="E38" s="209"/>
    </row>
    <row r="39" spans="1:5">
      <c r="A39" s="184"/>
      <c r="B39" s="185" t="s">
        <v>381</v>
      </c>
      <c r="C39" s="186">
        <f>-150000</f>
        <v>-150000</v>
      </c>
      <c r="D39" s="186">
        <f>-250000</f>
        <v>-250000</v>
      </c>
      <c r="E39" s="187">
        <v>-350000</v>
      </c>
    </row>
    <row r="40" spans="1:5">
      <c r="A40" s="184"/>
      <c r="B40" s="185" t="s">
        <v>382</v>
      </c>
      <c r="C40" s="186">
        <v>1610800</v>
      </c>
      <c r="D40" s="186">
        <v>1758400</v>
      </c>
      <c r="E40" s="187">
        <v>1906000</v>
      </c>
    </row>
    <row r="41" spans="1:5">
      <c r="A41" s="184"/>
      <c r="B41" s="185" t="s">
        <v>383</v>
      </c>
      <c r="C41" s="186">
        <v>39200</v>
      </c>
      <c r="D41" s="186">
        <f>-47600</f>
        <v>-47600</v>
      </c>
      <c r="E41" s="187">
        <f>-47600</f>
        <v>-47600</v>
      </c>
    </row>
    <row r="42" spans="1:5">
      <c r="A42" s="191"/>
      <c r="B42" s="211" t="s">
        <v>384</v>
      </c>
      <c r="C42" s="212">
        <v>0</v>
      </c>
      <c r="D42" s="212">
        <v>39200</v>
      </c>
      <c r="E42" s="213">
        <f>-8400</f>
        <v>-8400</v>
      </c>
    </row>
    <row r="43" spans="1:5" ht="12.75" thickBot="1">
      <c r="A43" s="214"/>
      <c r="B43" s="215"/>
      <c r="C43" s="216"/>
      <c r="D43" s="216"/>
      <c r="E43" s="217"/>
    </row>
    <row r="44" spans="1:5">
      <c r="C44" s="218"/>
      <c r="D44" s="218"/>
      <c r="E44" s="218"/>
    </row>
    <row r="45" spans="1:5">
      <c r="C45" s="218"/>
      <c r="D45" s="218"/>
      <c r="E45" s="218"/>
    </row>
    <row r="46" spans="1:5">
      <c r="C46" s="218"/>
      <c r="D46" s="218"/>
      <c r="E46" s="218"/>
    </row>
    <row r="47" spans="1:5">
      <c r="C47" s="218"/>
      <c r="D47" s="218"/>
      <c r="E47" s="218"/>
    </row>
    <row r="48" spans="1:5">
      <c r="C48" s="218"/>
    </row>
    <row r="49" spans="3:3">
      <c r="C49" s="218"/>
    </row>
    <row r="50" spans="3:3">
      <c r="C50" s="218"/>
    </row>
    <row r="51" spans="3:3">
      <c r="C51" s="218"/>
    </row>
  </sheetData>
  <mergeCells count="4">
    <mergeCell ref="C6:E6"/>
    <mergeCell ref="A6:A8"/>
    <mergeCell ref="B6:B8"/>
    <mergeCell ref="C8:E8"/>
  </mergeCells>
  <printOptions horizontalCentered="1"/>
  <pageMargins left="0" right="0" top="0.55118110236220474" bottom="0.15748031496062992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9BFD-E156-46F5-8AA1-56F699072E99}">
  <dimension ref="A1:O174"/>
  <sheetViews>
    <sheetView topLeftCell="A3" zoomScale="75" zoomScaleNormal="75" workbookViewId="0">
      <selection activeCell="T33" sqref="T33"/>
    </sheetView>
  </sheetViews>
  <sheetFormatPr defaultRowHeight="12"/>
  <cols>
    <col min="1" max="1" width="6.875" style="1" customWidth="1"/>
    <col min="2" max="2" width="31.375" style="83" customWidth="1"/>
    <col min="3" max="3" width="14" style="1" hidden="1" customWidth="1"/>
    <col min="4" max="7" width="11.375" style="1" customWidth="1"/>
    <col min="8" max="8" width="9" style="1"/>
    <col min="9" max="9" width="8.375" style="1" customWidth="1"/>
    <col min="10" max="10" width="21.625" style="1" customWidth="1"/>
    <col min="11" max="21" width="9" style="1" customWidth="1"/>
    <col min="22" max="16384" width="9" style="1"/>
  </cols>
  <sheetData>
    <row r="1" spans="1:15">
      <c r="B1" s="83" t="s">
        <v>387</v>
      </c>
    </row>
    <row r="2" spans="1:15" ht="8.25" customHeight="1"/>
    <row r="3" spans="1:15" ht="15.75" customHeight="1" thickBot="1">
      <c r="A3" s="84"/>
      <c r="B3" s="85" t="s">
        <v>389</v>
      </c>
      <c r="C3" s="84" t="s">
        <v>211</v>
      </c>
      <c r="D3" s="84"/>
      <c r="E3" s="84"/>
      <c r="F3" s="86"/>
      <c r="H3" s="4"/>
      <c r="I3" s="4"/>
      <c r="J3" s="4"/>
      <c r="K3" s="4"/>
      <c r="L3" s="4"/>
      <c r="M3" s="4"/>
      <c r="N3" s="4"/>
    </row>
    <row r="4" spans="1:15" ht="16.5" customHeight="1" thickBot="1">
      <c r="A4" s="87" t="s">
        <v>0</v>
      </c>
      <c r="B4" s="88" t="s">
        <v>1</v>
      </c>
      <c r="C4" s="89">
        <v>2015</v>
      </c>
      <c r="D4" s="90">
        <v>2022</v>
      </c>
      <c r="E4" s="91">
        <v>2023</v>
      </c>
      <c r="F4" s="91">
        <v>2024</v>
      </c>
      <c r="G4" s="152">
        <v>2025</v>
      </c>
      <c r="H4" s="18"/>
      <c r="I4" s="18"/>
      <c r="J4" s="165"/>
      <c r="K4" s="165">
        <v>2022</v>
      </c>
      <c r="L4" s="165">
        <v>2023</v>
      </c>
      <c r="M4" s="165">
        <v>2024</v>
      </c>
      <c r="N4" s="165">
        <v>2025</v>
      </c>
    </row>
    <row r="5" spans="1:15" ht="17.25" customHeight="1">
      <c r="A5" s="92">
        <v>1</v>
      </c>
      <c r="B5" s="93">
        <v>2</v>
      </c>
      <c r="C5" s="94">
        <v>3</v>
      </c>
      <c r="D5" s="95">
        <v>5</v>
      </c>
      <c r="E5" s="95">
        <v>6</v>
      </c>
      <c r="F5" s="94">
        <v>7</v>
      </c>
      <c r="G5" s="96">
        <v>8</v>
      </c>
      <c r="H5" s="18"/>
      <c r="I5" s="18"/>
      <c r="J5" s="165"/>
      <c r="K5" s="165"/>
      <c r="L5" s="165"/>
      <c r="M5" s="165"/>
      <c r="N5" s="165"/>
    </row>
    <row r="6" spans="1:15" ht="12.75" customHeight="1">
      <c r="A6" s="236" t="s">
        <v>2</v>
      </c>
      <c r="B6" s="237"/>
      <c r="C6" s="237"/>
      <c r="D6" s="237"/>
      <c r="E6" s="237"/>
      <c r="F6" s="237"/>
      <c r="G6" s="238"/>
      <c r="H6" s="25"/>
      <c r="I6" s="25"/>
      <c r="J6" s="77"/>
      <c r="K6" s="77"/>
      <c r="L6" s="77"/>
      <c r="M6" s="77"/>
      <c r="N6" s="77"/>
    </row>
    <row r="7" spans="1:15" ht="12.75" customHeight="1">
      <c r="A7" s="97" t="s">
        <v>3</v>
      </c>
      <c r="B7" s="98" t="s">
        <v>4</v>
      </c>
      <c r="C7" s="99">
        <v>23595890</v>
      </c>
      <c r="D7" s="99">
        <f t="shared" ref="D7:G7" si="0">D13+D8</f>
        <v>39165751.740000002</v>
      </c>
      <c r="E7" s="99">
        <f t="shared" si="0"/>
        <v>38497041</v>
      </c>
      <c r="F7" s="99">
        <f t="shared" si="0"/>
        <v>37814561</v>
      </c>
      <c r="G7" s="100">
        <f t="shared" si="0"/>
        <v>37342566</v>
      </c>
      <c r="H7" s="18"/>
      <c r="I7" s="18" t="s">
        <v>220</v>
      </c>
      <c r="J7" s="166" t="s">
        <v>343</v>
      </c>
      <c r="K7" s="167">
        <f>D114*100/D94</f>
        <v>0.92188222384297591</v>
      </c>
      <c r="L7" s="167">
        <f t="shared" ref="L7:N7" si="1">E114*100/E94</f>
        <v>0.19308555042845257</v>
      </c>
      <c r="M7" s="167">
        <f t="shared" si="1"/>
        <v>2.5282468377952675E-2</v>
      </c>
      <c r="N7" s="167">
        <f t="shared" si="1"/>
        <v>3.6277949704972078E-2</v>
      </c>
      <c r="O7" s="1" t="s">
        <v>390</v>
      </c>
    </row>
    <row r="8" spans="1:15" ht="12.75" customHeight="1">
      <c r="A8" s="101" t="s">
        <v>5</v>
      </c>
      <c r="B8" s="102" t="s">
        <v>6</v>
      </c>
      <c r="C8" s="103">
        <v>195858</v>
      </c>
      <c r="D8" s="103">
        <f t="shared" ref="D8:G8" si="2">D11</f>
        <v>1525165</v>
      </c>
      <c r="E8" s="103">
        <f t="shared" si="2"/>
        <v>1300000</v>
      </c>
      <c r="F8" s="103">
        <f t="shared" si="2"/>
        <v>1100000</v>
      </c>
      <c r="G8" s="104">
        <f t="shared" si="2"/>
        <v>900000</v>
      </c>
      <c r="H8" s="29"/>
      <c r="I8" s="29"/>
      <c r="J8" s="166"/>
      <c r="K8" s="167"/>
      <c r="L8" s="168"/>
      <c r="M8" s="168"/>
      <c r="N8" s="168"/>
    </row>
    <row r="9" spans="1:15" ht="12.75" customHeight="1">
      <c r="A9" s="105" t="s">
        <v>7</v>
      </c>
      <c r="B9" s="106" t="s">
        <v>8</v>
      </c>
      <c r="C9" s="2">
        <v>0</v>
      </c>
      <c r="D9" s="2">
        <v>0</v>
      </c>
      <c r="E9" s="2">
        <v>0</v>
      </c>
      <c r="F9" s="2">
        <v>0</v>
      </c>
      <c r="G9" s="8">
        <v>0</v>
      </c>
      <c r="H9" s="18"/>
      <c r="I9" s="18"/>
      <c r="J9" s="166"/>
      <c r="K9" s="167"/>
      <c r="L9" s="168"/>
      <c r="M9" s="168"/>
      <c r="N9" s="168"/>
    </row>
    <row r="10" spans="1:15" ht="12.75" customHeight="1">
      <c r="A10" s="105" t="s">
        <v>9</v>
      </c>
      <c r="B10" s="106" t="s">
        <v>10</v>
      </c>
      <c r="C10" s="2">
        <v>0</v>
      </c>
      <c r="D10" s="2">
        <v>0</v>
      </c>
      <c r="E10" s="2">
        <v>0</v>
      </c>
      <c r="F10" s="2">
        <v>0</v>
      </c>
      <c r="G10" s="8">
        <v>0</v>
      </c>
      <c r="H10" s="18"/>
      <c r="I10" s="18" t="s">
        <v>224</v>
      </c>
      <c r="J10" s="166" t="s">
        <v>344</v>
      </c>
      <c r="K10" s="167">
        <f>SUM(D49-D91)/SUM(D135+D122+D125)</f>
        <v>1.0145703514284676</v>
      </c>
      <c r="L10" s="167">
        <f t="shared" ref="L10:N10" si="3">SUM(E49-E91)/SUM(E135+E122+E125)</f>
        <v>0.93546284224250331</v>
      </c>
      <c r="M10" s="167">
        <f t="shared" si="3"/>
        <v>0.90264345583494521</v>
      </c>
      <c r="N10" s="167">
        <f t="shared" si="3"/>
        <v>0.79783852511125242</v>
      </c>
      <c r="O10" s="1" t="s">
        <v>391</v>
      </c>
    </row>
    <row r="11" spans="1:15" ht="12.75" customHeight="1">
      <c r="A11" s="105" t="s">
        <v>11</v>
      </c>
      <c r="B11" s="106" t="s">
        <v>12</v>
      </c>
      <c r="C11" s="2">
        <v>195858</v>
      </c>
      <c r="D11" s="2">
        <v>1525165</v>
      </c>
      <c r="E11" s="2">
        <v>1300000</v>
      </c>
      <c r="F11" s="2">
        <f>400000+700000</f>
        <v>1100000</v>
      </c>
      <c r="G11" s="8">
        <v>900000</v>
      </c>
      <c r="H11" s="18"/>
      <c r="I11" s="18" t="s">
        <v>226</v>
      </c>
      <c r="J11" s="166"/>
      <c r="K11" s="167"/>
      <c r="L11" s="168"/>
      <c r="M11" s="168"/>
      <c r="N11" s="168"/>
    </row>
    <row r="12" spans="1:15" ht="12.75" customHeight="1">
      <c r="A12" s="105" t="s">
        <v>13</v>
      </c>
      <c r="B12" s="106" t="s">
        <v>14</v>
      </c>
      <c r="C12" s="2">
        <v>0</v>
      </c>
      <c r="D12" s="2">
        <v>0</v>
      </c>
      <c r="E12" s="2">
        <v>0</v>
      </c>
      <c r="F12" s="2">
        <v>0</v>
      </c>
      <c r="G12" s="8">
        <v>0</v>
      </c>
      <c r="H12" s="37"/>
      <c r="I12" s="37"/>
      <c r="J12" s="166"/>
      <c r="K12" s="167"/>
      <c r="L12" s="168"/>
      <c r="M12" s="168"/>
      <c r="N12" s="168"/>
    </row>
    <row r="13" spans="1:15" ht="12.75" customHeight="1">
      <c r="A13" s="101" t="s">
        <v>15</v>
      </c>
      <c r="B13" s="102" t="s">
        <v>16</v>
      </c>
      <c r="C13" s="107">
        <v>23400032</v>
      </c>
      <c r="D13" s="107">
        <f t="shared" ref="D13:G13" si="4">D14+D20</f>
        <v>37640586.740000002</v>
      </c>
      <c r="E13" s="107">
        <f t="shared" si="4"/>
        <v>37197041</v>
      </c>
      <c r="F13" s="107">
        <f t="shared" si="4"/>
        <v>36714561</v>
      </c>
      <c r="G13" s="104">
        <f t="shared" si="4"/>
        <v>36442566</v>
      </c>
      <c r="H13" s="18"/>
      <c r="I13" s="18"/>
      <c r="J13" s="166" t="s">
        <v>345</v>
      </c>
      <c r="K13" s="167">
        <f>SUM(D49-D91-D50)/SUM(D135+D122+D125)</f>
        <v>0.92030169891871316</v>
      </c>
      <c r="L13" s="167">
        <f t="shared" ref="L13:N13" si="5">SUM(E49-E91-E50)/SUM(E135+E122+E125)</f>
        <v>0.83767926988265973</v>
      </c>
      <c r="M13" s="167">
        <f t="shared" si="5"/>
        <v>0.80593165699548674</v>
      </c>
      <c r="N13" s="167">
        <f t="shared" si="5"/>
        <v>0.7024793388429752</v>
      </c>
      <c r="O13" s="1" t="s">
        <v>392</v>
      </c>
    </row>
    <row r="14" spans="1:15" ht="12.75" customHeight="1">
      <c r="A14" s="105" t="s">
        <v>17</v>
      </c>
      <c r="B14" s="106" t="s">
        <v>18</v>
      </c>
      <c r="C14" s="108">
        <v>22401969</v>
      </c>
      <c r="D14" s="108">
        <f>SUM(D15:D19)</f>
        <v>34661508.460000001</v>
      </c>
      <c r="E14" s="108">
        <f t="shared" ref="E14:G14" si="6">SUM(E15:E19)</f>
        <v>34297041</v>
      </c>
      <c r="F14" s="108">
        <f t="shared" si="6"/>
        <v>35814561</v>
      </c>
      <c r="G14" s="109">
        <f t="shared" si="6"/>
        <v>35642566</v>
      </c>
      <c r="H14" s="18"/>
      <c r="I14" s="18"/>
      <c r="J14" s="166"/>
      <c r="K14" s="167"/>
      <c r="L14" s="168"/>
      <c r="M14" s="168"/>
      <c r="N14" s="168"/>
    </row>
    <row r="15" spans="1:15" ht="12.75" customHeight="1">
      <c r="A15" s="105" t="s">
        <v>19</v>
      </c>
      <c r="B15" s="106" t="s">
        <v>20</v>
      </c>
      <c r="C15" s="2">
        <v>4498334</v>
      </c>
      <c r="D15" s="2">
        <v>4552674</v>
      </c>
      <c r="E15" s="2">
        <v>4552674</v>
      </c>
      <c r="F15" s="2">
        <v>4552674</v>
      </c>
      <c r="G15" s="8">
        <v>4552674</v>
      </c>
      <c r="H15" s="18"/>
      <c r="I15" s="18"/>
      <c r="J15" s="166"/>
      <c r="K15" s="167"/>
      <c r="L15" s="168"/>
      <c r="M15" s="168"/>
      <c r="N15" s="168"/>
    </row>
    <row r="16" spans="1:15" ht="12.75" customHeight="1">
      <c r="A16" s="105" t="s">
        <v>21</v>
      </c>
      <c r="B16" s="110" t="s">
        <v>22</v>
      </c>
      <c r="C16" s="2">
        <v>15557358</v>
      </c>
      <c r="D16" s="2">
        <v>21036936.899999999</v>
      </c>
      <c r="E16" s="2">
        <f>20994604+100000-1000000+7461+494629</f>
        <v>20596694</v>
      </c>
      <c r="F16" s="2">
        <f>20626000+71000+307+400000+14231+200000+400000</f>
        <v>21711538</v>
      </c>
      <c r="G16" s="8">
        <f>19609627+560000+900000-2480+311+200005+400000</f>
        <v>21667463</v>
      </c>
      <c r="H16" s="18"/>
      <c r="I16" s="18"/>
      <c r="J16" s="169" t="s">
        <v>346</v>
      </c>
      <c r="K16" s="167">
        <f>D68*365/72356260</f>
        <v>24.98633696863271</v>
      </c>
      <c r="L16" s="168">
        <f>E68*366/76373660</f>
        <v>23.961140529339566</v>
      </c>
      <c r="M16" s="168">
        <f>F68*365/79150000</f>
        <v>25.3632343651295</v>
      </c>
      <c r="N16" s="168">
        <f>G68*365/80250000</f>
        <v>27.289719626168225</v>
      </c>
      <c r="O16" s="1" t="s">
        <v>393</v>
      </c>
    </row>
    <row r="17" spans="1:15" ht="12.75" customHeight="1">
      <c r="A17" s="105" t="s">
        <v>23</v>
      </c>
      <c r="B17" s="106" t="s">
        <v>24</v>
      </c>
      <c r="C17" s="2">
        <v>503464</v>
      </c>
      <c r="D17" s="2">
        <v>1056811.43</v>
      </c>
      <c r="E17" s="2">
        <f>1018820-150000</f>
        <v>868820</v>
      </c>
      <c r="F17" s="2">
        <f>305320+510000</f>
        <v>815320</v>
      </c>
      <c r="G17" s="8">
        <f>710000+50000</f>
        <v>760000</v>
      </c>
      <c r="H17" s="18"/>
      <c r="I17" s="18"/>
      <c r="J17" s="166"/>
      <c r="K17" s="167"/>
      <c r="L17" s="168"/>
      <c r="M17" s="168"/>
      <c r="N17" s="168"/>
    </row>
    <row r="18" spans="1:15" ht="12.75" customHeight="1">
      <c r="A18" s="105" t="s">
        <v>25</v>
      </c>
      <c r="B18" s="106" t="s">
        <v>26</v>
      </c>
      <c r="C18" s="2">
        <v>633076</v>
      </c>
      <c r="D18" s="2">
        <v>1021849.92</v>
      </c>
      <c r="E18" s="2">
        <f>1107132+3111-50000-50000</f>
        <v>1010243</v>
      </c>
      <c r="F18" s="2">
        <f>1150000-100000</f>
        <v>1050000</v>
      </c>
      <c r="G18" s="8">
        <f>1100000-200000+50000</f>
        <v>950000</v>
      </c>
      <c r="J18" s="166"/>
      <c r="K18" s="167"/>
      <c r="L18" s="168"/>
      <c r="M18" s="168"/>
      <c r="N18" s="168"/>
    </row>
    <row r="19" spans="1:15" ht="12.75" customHeight="1">
      <c r="A19" s="105" t="s">
        <v>27</v>
      </c>
      <c r="B19" s="106" t="s">
        <v>28</v>
      </c>
      <c r="C19" s="2">
        <v>1209737</v>
      </c>
      <c r="D19" s="2">
        <v>6993236.21</v>
      </c>
      <c r="E19" s="2">
        <f>3068610+500000+300000+2200000+1200000</f>
        <v>7268610</v>
      </c>
      <c r="F19" s="2">
        <f>680000+5200000-600000+1500000-40000+800000-50000+195029</f>
        <v>7685029</v>
      </c>
      <c r="G19" s="8">
        <f>6200000+1050000+500000-37571</f>
        <v>7712429</v>
      </c>
      <c r="J19" s="166" t="s">
        <v>347</v>
      </c>
      <c r="K19" s="167">
        <f>D151*365/72356260</f>
        <v>17.265512135370184</v>
      </c>
      <c r="L19" s="168">
        <f>E151*366/76373660</f>
        <v>16.772798370537696</v>
      </c>
      <c r="M19" s="168">
        <f>F151*365/79150000</f>
        <v>16.601389766266582</v>
      </c>
      <c r="N19" s="168">
        <f>G151*365/80250000</f>
        <v>16.828660436137071</v>
      </c>
      <c r="O19" s="1" t="s">
        <v>394</v>
      </c>
    </row>
    <row r="20" spans="1:15" ht="12.75" customHeight="1">
      <c r="A20" s="105" t="s">
        <v>29</v>
      </c>
      <c r="B20" s="106" t="s">
        <v>30</v>
      </c>
      <c r="C20" s="2">
        <v>998063</v>
      </c>
      <c r="D20" s="2">
        <v>2979078.28</v>
      </c>
      <c r="E20" s="2">
        <v>2900000</v>
      </c>
      <c r="F20" s="2">
        <v>900000</v>
      </c>
      <c r="G20" s="8">
        <v>800000</v>
      </c>
      <c r="J20" s="166"/>
      <c r="K20" s="167"/>
      <c r="L20" s="168"/>
      <c r="M20" s="168"/>
      <c r="N20" s="168"/>
    </row>
    <row r="21" spans="1:15" ht="12.75" customHeight="1">
      <c r="A21" s="105" t="s">
        <v>31</v>
      </c>
      <c r="B21" s="106" t="s">
        <v>32</v>
      </c>
      <c r="C21" s="2">
        <v>0</v>
      </c>
      <c r="D21" s="2">
        <v>0</v>
      </c>
      <c r="E21" s="2">
        <v>0</v>
      </c>
      <c r="F21" s="2">
        <v>0</v>
      </c>
      <c r="G21" s="8">
        <v>0</v>
      </c>
      <c r="J21" s="166"/>
      <c r="K21" s="167"/>
      <c r="L21" s="168"/>
      <c r="M21" s="168"/>
      <c r="N21" s="168"/>
    </row>
    <row r="22" spans="1:15" ht="12.75" customHeight="1">
      <c r="A22" s="101" t="s">
        <v>33</v>
      </c>
      <c r="B22" s="102" t="s">
        <v>34</v>
      </c>
      <c r="C22" s="103">
        <v>0</v>
      </c>
      <c r="D22" s="103">
        <v>0</v>
      </c>
      <c r="E22" s="103">
        <v>0</v>
      </c>
      <c r="F22" s="103">
        <v>0</v>
      </c>
      <c r="G22" s="104">
        <v>0</v>
      </c>
      <c r="J22" s="166" t="s">
        <v>348</v>
      </c>
      <c r="K22" s="167">
        <f>SUM(D118+D126+D135)*100/D94</f>
        <v>35.480528036811897</v>
      </c>
      <c r="L22" s="167">
        <f t="shared" ref="L22:N22" si="7">SUM(E118+E126+E135)*100/E94</f>
        <v>35.839281900381138</v>
      </c>
      <c r="M22" s="167">
        <f t="shared" si="7"/>
        <v>36.302536655670977</v>
      </c>
      <c r="N22" s="167">
        <f t="shared" si="7"/>
        <v>37.540662871498732</v>
      </c>
      <c r="O22" s="1" t="s">
        <v>395</v>
      </c>
    </row>
    <row r="23" spans="1:15" ht="12.75" customHeight="1">
      <c r="A23" s="111" t="s">
        <v>35</v>
      </c>
      <c r="B23" s="106" t="s">
        <v>36</v>
      </c>
      <c r="C23" s="2">
        <v>0</v>
      </c>
      <c r="D23" s="2">
        <v>0</v>
      </c>
      <c r="E23" s="2">
        <v>0</v>
      </c>
      <c r="F23" s="2">
        <v>0</v>
      </c>
      <c r="G23" s="8">
        <v>0</v>
      </c>
      <c r="J23" s="166"/>
      <c r="K23" s="167"/>
      <c r="L23" s="168"/>
      <c r="M23" s="168"/>
      <c r="N23" s="168"/>
    </row>
    <row r="24" spans="1:15" ht="12.75" customHeight="1">
      <c r="A24" s="111" t="s">
        <v>37</v>
      </c>
      <c r="B24" s="112" t="s">
        <v>38</v>
      </c>
      <c r="C24" s="2">
        <v>0</v>
      </c>
      <c r="D24" s="2">
        <v>0</v>
      </c>
      <c r="E24" s="2">
        <v>0</v>
      </c>
      <c r="F24" s="2">
        <v>0</v>
      </c>
      <c r="G24" s="8">
        <v>0</v>
      </c>
      <c r="J24" s="166" t="s">
        <v>349</v>
      </c>
      <c r="K24" s="167">
        <f>SUM(D118+D126+D135)/D101</f>
        <v>2.0232216733625839</v>
      </c>
      <c r="L24" s="167">
        <f t="shared" ref="L24:N24" si="8">SUM(E118+E126+E135)/E101</f>
        <v>1.9118053814745497</v>
      </c>
      <c r="M24" s="167">
        <f t="shared" si="8"/>
        <v>1.8961758270678934</v>
      </c>
      <c r="N24" s="167">
        <f t="shared" si="8"/>
        <v>1.8846725043027335</v>
      </c>
      <c r="O24" s="1" t="s">
        <v>396</v>
      </c>
    </row>
    <row r="25" spans="1:15" ht="12.75" customHeight="1">
      <c r="A25" s="111" t="s">
        <v>39</v>
      </c>
      <c r="B25" s="106" t="s">
        <v>40</v>
      </c>
      <c r="C25" s="2">
        <v>0</v>
      </c>
      <c r="D25" s="2">
        <v>0</v>
      </c>
      <c r="E25" s="2">
        <v>0</v>
      </c>
      <c r="F25" s="2">
        <v>0</v>
      </c>
      <c r="G25" s="8">
        <v>0</v>
      </c>
      <c r="J25" s="166"/>
      <c r="K25" s="167"/>
      <c r="L25" s="168"/>
      <c r="M25" s="168"/>
      <c r="N25" s="168"/>
    </row>
    <row r="26" spans="1:15" ht="12.75" customHeight="1">
      <c r="A26" s="101" t="s">
        <v>41</v>
      </c>
      <c r="B26" s="102" t="s">
        <v>42</v>
      </c>
      <c r="C26" s="103">
        <v>0</v>
      </c>
      <c r="D26" s="103">
        <v>0</v>
      </c>
      <c r="E26" s="103">
        <v>0</v>
      </c>
      <c r="F26" s="103">
        <v>0</v>
      </c>
      <c r="G26" s="104">
        <v>0</v>
      </c>
      <c r="K26" s="163"/>
      <c r="L26" s="164"/>
      <c r="M26" s="164"/>
      <c r="N26" s="164"/>
    </row>
    <row r="27" spans="1:15" ht="12.75" customHeight="1">
      <c r="A27" s="105" t="s">
        <v>43</v>
      </c>
      <c r="B27" s="106" t="s">
        <v>44</v>
      </c>
      <c r="C27" s="2">
        <v>0</v>
      </c>
      <c r="D27" s="2">
        <v>0</v>
      </c>
      <c r="E27" s="2">
        <v>0</v>
      </c>
      <c r="F27" s="2">
        <v>0</v>
      </c>
      <c r="G27" s="8">
        <v>0</v>
      </c>
    </row>
    <row r="28" spans="1:15" ht="12.75" customHeight="1">
      <c r="A28" s="105" t="s">
        <v>45</v>
      </c>
      <c r="B28" s="106" t="s">
        <v>6</v>
      </c>
      <c r="C28" s="2">
        <v>0</v>
      </c>
      <c r="D28" s="2">
        <v>0</v>
      </c>
      <c r="E28" s="2">
        <v>0</v>
      </c>
      <c r="F28" s="2">
        <v>0</v>
      </c>
      <c r="G28" s="8">
        <v>0</v>
      </c>
      <c r="K28" s="163"/>
      <c r="L28" s="163"/>
      <c r="M28" s="163"/>
      <c r="N28" s="163"/>
    </row>
    <row r="29" spans="1:15" ht="12.75" customHeight="1">
      <c r="A29" s="105" t="s">
        <v>46</v>
      </c>
      <c r="B29" s="106" t="s">
        <v>47</v>
      </c>
      <c r="C29" s="108">
        <v>0</v>
      </c>
      <c r="D29" s="108">
        <v>0</v>
      </c>
      <c r="E29" s="108">
        <v>0</v>
      </c>
      <c r="F29" s="108">
        <v>0</v>
      </c>
      <c r="G29" s="109">
        <v>0</v>
      </c>
    </row>
    <row r="30" spans="1:15" ht="12.75" customHeight="1">
      <c r="A30" s="105" t="s">
        <v>48</v>
      </c>
      <c r="B30" s="106" t="s">
        <v>49</v>
      </c>
      <c r="C30" s="108">
        <v>0</v>
      </c>
      <c r="D30" s="108">
        <v>0</v>
      </c>
      <c r="E30" s="108">
        <v>0</v>
      </c>
      <c r="F30" s="108">
        <v>0</v>
      </c>
      <c r="G30" s="109">
        <v>0</v>
      </c>
    </row>
    <row r="31" spans="1:15" ht="12.75" customHeight="1">
      <c r="A31" s="105" t="s">
        <v>50</v>
      </c>
      <c r="B31" s="106" t="s">
        <v>51</v>
      </c>
      <c r="C31" s="2">
        <v>0</v>
      </c>
      <c r="D31" s="2">
        <v>0</v>
      </c>
      <c r="E31" s="2">
        <v>0</v>
      </c>
      <c r="F31" s="2">
        <v>0</v>
      </c>
      <c r="G31" s="8">
        <v>0</v>
      </c>
    </row>
    <row r="32" spans="1:15" ht="12.75" customHeight="1">
      <c r="A32" s="105" t="s">
        <v>50</v>
      </c>
      <c r="B32" s="106" t="s">
        <v>52</v>
      </c>
      <c r="C32" s="2">
        <v>0</v>
      </c>
      <c r="D32" s="2">
        <v>0</v>
      </c>
      <c r="E32" s="2">
        <v>0</v>
      </c>
      <c r="F32" s="2">
        <v>0</v>
      </c>
      <c r="G32" s="8">
        <v>0</v>
      </c>
    </row>
    <row r="33" spans="1:11" ht="12.75" customHeight="1">
      <c r="A33" s="105" t="s">
        <v>50</v>
      </c>
      <c r="B33" s="106" t="s">
        <v>53</v>
      </c>
      <c r="C33" s="2">
        <v>0</v>
      </c>
      <c r="D33" s="2">
        <v>0</v>
      </c>
      <c r="E33" s="2">
        <v>0</v>
      </c>
      <c r="F33" s="2">
        <v>0</v>
      </c>
      <c r="G33" s="8">
        <v>0</v>
      </c>
    </row>
    <row r="34" spans="1:11" ht="12.75" customHeight="1">
      <c r="A34" s="105" t="s">
        <v>50</v>
      </c>
      <c r="B34" s="106" t="s">
        <v>54</v>
      </c>
      <c r="C34" s="2">
        <v>0</v>
      </c>
      <c r="D34" s="2">
        <v>0</v>
      </c>
      <c r="E34" s="2">
        <v>0</v>
      </c>
      <c r="F34" s="2">
        <v>0</v>
      </c>
      <c r="G34" s="8">
        <v>0</v>
      </c>
    </row>
    <row r="35" spans="1:11" ht="12.75" customHeight="1">
      <c r="A35" s="105" t="s">
        <v>55</v>
      </c>
      <c r="B35" s="112" t="s">
        <v>56</v>
      </c>
      <c r="C35" s="108">
        <v>0</v>
      </c>
      <c r="D35" s="108">
        <v>0</v>
      </c>
      <c r="E35" s="108">
        <v>0</v>
      </c>
      <c r="F35" s="108">
        <v>0</v>
      </c>
      <c r="G35" s="109">
        <v>0</v>
      </c>
    </row>
    <row r="36" spans="1:11" ht="15.75" customHeight="1">
      <c r="A36" s="105" t="s">
        <v>57</v>
      </c>
      <c r="B36" s="106" t="s">
        <v>51</v>
      </c>
      <c r="C36" s="2">
        <v>0</v>
      </c>
      <c r="D36" s="2">
        <v>0</v>
      </c>
      <c r="E36" s="2">
        <v>0</v>
      </c>
      <c r="F36" s="2">
        <v>0</v>
      </c>
      <c r="G36" s="8">
        <v>0</v>
      </c>
    </row>
    <row r="37" spans="1:11" ht="13.5" customHeight="1">
      <c r="A37" s="105" t="s">
        <v>57</v>
      </c>
      <c r="B37" s="106" t="s">
        <v>52</v>
      </c>
      <c r="C37" s="2">
        <v>0</v>
      </c>
      <c r="D37" s="2">
        <v>0</v>
      </c>
      <c r="E37" s="2">
        <v>0</v>
      </c>
      <c r="F37" s="2">
        <v>0</v>
      </c>
      <c r="G37" s="8">
        <v>0</v>
      </c>
    </row>
    <row r="38" spans="1:11" ht="13.5" customHeight="1">
      <c r="A38" s="105" t="s">
        <v>57</v>
      </c>
      <c r="B38" s="106" t="s">
        <v>53</v>
      </c>
      <c r="C38" s="2">
        <v>0</v>
      </c>
      <c r="D38" s="2">
        <v>0</v>
      </c>
      <c r="E38" s="2">
        <v>0</v>
      </c>
      <c r="F38" s="2">
        <v>0</v>
      </c>
      <c r="G38" s="8">
        <v>0</v>
      </c>
    </row>
    <row r="39" spans="1:11" ht="13.5" customHeight="1">
      <c r="A39" s="105" t="s">
        <v>57</v>
      </c>
      <c r="B39" s="106" t="s">
        <v>54</v>
      </c>
      <c r="C39" s="2">
        <v>0</v>
      </c>
      <c r="D39" s="2">
        <v>0</v>
      </c>
      <c r="E39" s="2">
        <v>0</v>
      </c>
      <c r="F39" s="2">
        <v>0</v>
      </c>
      <c r="G39" s="8">
        <v>0</v>
      </c>
    </row>
    <row r="40" spans="1:11" ht="23.25" customHeight="1">
      <c r="A40" s="105" t="s">
        <v>58</v>
      </c>
      <c r="B40" s="113" t="s">
        <v>59</v>
      </c>
      <c r="C40" s="108">
        <v>0</v>
      </c>
      <c r="D40" s="108">
        <v>0</v>
      </c>
      <c r="E40" s="108">
        <v>0</v>
      </c>
      <c r="F40" s="108">
        <v>0</v>
      </c>
      <c r="G40" s="109">
        <v>0</v>
      </c>
    </row>
    <row r="41" spans="1:11" ht="12" customHeight="1">
      <c r="A41" s="105" t="s">
        <v>60</v>
      </c>
      <c r="B41" s="106" t="s">
        <v>51</v>
      </c>
      <c r="C41" s="2">
        <v>0</v>
      </c>
      <c r="D41" s="2">
        <v>0</v>
      </c>
      <c r="E41" s="2">
        <v>0</v>
      </c>
      <c r="F41" s="2">
        <v>0</v>
      </c>
      <c r="G41" s="8">
        <v>0</v>
      </c>
    </row>
    <row r="42" spans="1:11" ht="11.25" customHeight="1">
      <c r="A42" s="105" t="s">
        <v>60</v>
      </c>
      <c r="B42" s="106" t="s">
        <v>52</v>
      </c>
      <c r="C42" s="2">
        <v>0</v>
      </c>
      <c r="D42" s="2">
        <v>0</v>
      </c>
      <c r="E42" s="2">
        <v>0</v>
      </c>
      <c r="F42" s="2">
        <v>0</v>
      </c>
      <c r="G42" s="8">
        <v>0</v>
      </c>
      <c r="J42" s="163">
        <f t="shared" ref="J42:K42" si="9">SUM(C138+C146+C155)*100/C114</f>
        <v>25496.441321686289</v>
      </c>
      <c r="K42" s="163">
        <f t="shared" si="9"/>
        <v>2646.0706313573523</v>
      </c>
    </row>
    <row r="43" spans="1:11" ht="22.5" customHeight="1">
      <c r="A43" s="105" t="s">
        <v>60</v>
      </c>
      <c r="B43" s="106" t="s">
        <v>53</v>
      </c>
      <c r="C43" s="2">
        <v>0</v>
      </c>
      <c r="D43" s="2">
        <v>0</v>
      </c>
      <c r="E43" s="2">
        <v>0</v>
      </c>
      <c r="F43" s="2">
        <v>0</v>
      </c>
      <c r="G43" s="8">
        <v>0</v>
      </c>
      <c r="J43" s="163" t="e">
        <f t="shared" ref="J43:K43" si="10">SUM(C139+C147+C156)*100/C115</f>
        <v>#DIV/0!</v>
      </c>
      <c r="K43" s="163" t="e">
        <f t="shared" si="10"/>
        <v>#DIV/0!</v>
      </c>
    </row>
    <row r="44" spans="1:11" ht="15.75" customHeight="1">
      <c r="A44" s="105" t="s">
        <v>60</v>
      </c>
      <c r="B44" s="106" t="s">
        <v>54</v>
      </c>
      <c r="C44" s="2">
        <v>0</v>
      </c>
      <c r="D44" s="2">
        <v>0</v>
      </c>
      <c r="E44" s="2">
        <v>0</v>
      </c>
      <c r="F44" s="2">
        <v>0</v>
      </c>
      <c r="G44" s="8">
        <v>0</v>
      </c>
      <c r="J44" s="163" t="e">
        <f t="shared" ref="J44:K44" si="11">SUM(C140+C148+C157)*100/C116</f>
        <v>#DIV/0!</v>
      </c>
      <c r="K44" s="163" t="e">
        <f t="shared" si="11"/>
        <v>#DIV/0!</v>
      </c>
    </row>
    <row r="45" spans="1:11" ht="15.75" customHeight="1">
      <c r="A45" s="105" t="s">
        <v>61</v>
      </c>
      <c r="B45" s="106" t="s">
        <v>62</v>
      </c>
      <c r="C45" s="2">
        <v>0</v>
      </c>
      <c r="D45" s="2">
        <v>0</v>
      </c>
      <c r="E45" s="2">
        <v>0</v>
      </c>
      <c r="F45" s="2">
        <v>0</v>
      </c>
      <c r="G45" s="8">
        <v>0</v>
      </c>
      <c r="J45" s="163">
        <f t="shared" ref="J45:K45" si="12">SUM(C141+C149+C158)*100/C117</f>
        <v>2.7410437316605716</v>
      </c>
      <c r="K45" s="163">
        <f t="shared" si="12"/>
        <v>1.2117699947643674</v>
      </c>
    </row>
    <row r="46" spans="1:11" ht="24" customHeight="1">
      <c r="A46" s="101" t="s">
        <v>63</v>
      </c>
      <c r="B46" s="114" t="s">
        <v>64</v>
      </c>
      <c r="C46" s="103">
        <v>0</v>
      </c>
      <c r="D46" s="103">
        <v>0</v>
      </c>
      <c r="E46" s="103">
        <v>0</v>
      </c>
      <c r="F46" s="103">
        <v>0</v>
      </c>
      <c r="G46" s="104">
        <v>0</v>
      </c>
    </row>
    <row r="47" spans="1:11" ht="15.75" customHeight="1">
      <c r="A47" s="105" t="s">
        <v>65</v>
      </c>
      <c r="B47" s="110" t="s">
        <v>66</v>
      </c>
      <c r="C47" s="2">
        <v>0</v>
      </c>
      <c r="D47" s="2">
        <v>0</v>
      </c>
      <c r="E47" s="2">
        <v>0</v>
      </c>
      <c r="F47" s="2">
        <v>0</v>
      </c>
      <c r="G47" s="8">
        <v>0</v>
      </c>
    </row>
    <row r="48" spans="1:11" ht="15.75" customHeight="1">
      <c r="A48" s="105" t="s">
        <v>67</v>
      </c>
      <c r="B48" s="110" t="s">
        <v>68</v>
      </c>
      <c r="C48" s="2">
        <v>0</v>
      </c>
      <c r="D48" s="2">
        <v>0</v>
      </c>
      <c r="E48" s="2">
        <v>0</v>
      </c>
      <c r="F48" s="2">
        <v>0</v>
      </c>
      <c r="G48" s="8">
        <v>0</v>
      </c>
    </row>
    <row r="49" spans="1:14" ht="24" customHeight="1">
      <c r="A49" s="97" t="s">
        <v>69</v>
      </c>
      <c r="B49" s="98" t="s">
        <v>70</v>
      </c>
      <c r="C49" s="99">
        <v>3577150</v>
      </c>
      <c r="D49" s="99">
        <f>D50+D56+D74+D91</f>
        <v>16744737.329999998</v>
      </c>
      <c r="E49" s="99">
        <f t="shared" ref="E49:G49" si="13">E50+E56+E74</f>
        <v>14350000</v>
      </c>
      <c r="F49" s="99">
        <f t="shared" si="13"/>
        <v>14000000</v>
      </c>
      <c r="G49" s="100">
        <f t="shared" si="13"/>
        <v>12550000</v>
      </c>
    </row>
    <row r="50" spans="1:14" ht="15.75" customHeight="1">
      <c r="A50" s="101" t="s">
        <v>71</v>
      </c>
      <c r="B50" s="102" t="s">
        <v>72</v>
      </c>
      <c r="C50" s="103">
        <v>485843</v>
      </c>
      <c r="D50" s="103">
        <f t="shared" ref="D50:G50" si="14">D51</f>
        <v>1553831.8</v>
      </c>
      <c r="E50" s="103">
        <f t="shared" si="14"/>
        <v>1500000</v>
      </c>
      <c r="F50" s="103">
        <f t="shared" si="14"/>
        <v>1500000</v>
      </c>
      <c r="G50" s="104">
        <f t="shared" si="14"/>
        <v>1500000</v>
      </c>
      <c r="H50" s="18"/>
      <c r="I50" s="18"/>
      <c r="J50" s="18"/>
      <c r="K50" s="18"/>
      <c r="L50" s="18"/>
      <c r="M50" s="18"/>
      <c r="N50" s="18"/>
    </row>
    <row r="51" spans="1:14" ht="15.75" customHeight="1">
      <c r="A51" s="105" t="s">
        <v>73</v>
      </c>
      <c r="B51" s="106" t="s">
        <v>74</v>
      </c>
      <c r="C51" s="2">
        <v>485843</v>
      </c>
      <c r="D51" s="2">
        <v>1553831.8</v>
      </c>
      <c r="E51" s="2">
        <v>1500000</v>
      </c>
      <c r="F51" s="2">
        <v>1500000</v>
      </c>
      <c r="G51" s="2">
        <v>1500000</v>
      </c>
      <c r="H51" s="18"/>
      <c r="I51" s="18"/>
      <c r="J51" s="18"/>
      <c r="K51" s="18"/>
      <c r="L51" s="18"/>
      <c r="M51" s="18"/>
      <c r="N51" s="18"/>
    </row>
    <row r="52" spans="1:14" ht="20.25" customHeight="1">
      <c r="A52" s="105" t="s">
        <v>75</v>
      </c>
      <c r="B52" s="106" t="s">
        <v>76</v>
      </c>
      <c r="C52" s="2">
        <v>0</v>
      </c>
      <c r="D52" s="2">
        <v>0</v>
      </c>
      <c r="E52" s="2">
        <v>0</v>
      </c>
      <c r="F52" s="2">
        <v>0</v>
      </c>
      <c r="G52" s="8">
        <v>0</v>
      </c>
      <c r="H52" s="18"/>
      <c r="I52" s="18"/>
      <c r="J52" s="18"/>
      <c r="K52" s="18"/>
      <c r="L52" s="18"/>
      <c r="M52" s="18"/>
      <c r="N52" s="18"/>
    </row>
    <row r="53" spans="1:14" ht="15.75" customHeight="1">
      <c r="A53" s="105" t="s">
        <v>77</v>
      </c>
      <c r="B53" s="106" t="s">
        <v>78</v>
      </c>
      <c r="C53" s="2">
        <v>0</v>
      </c>
      <c r="D53" s="2">
        <v>0</v>
      </c>
      <c r="E53" s="2">
        <v>0</v>
      </c>
      <c r="F53" s="2">
        <v>0</v>
      </c>
      <c r="G53" s="8">
        <v>0</v>
      </c>
      <c r="H53" s="18"/>
      <c r="I53" s="18"/>
      <c r="J53" s="18"/>
      <c r="K53" s="18"/>
      <c r="L53" s="18"/>
      <c r="M53" s="18"/>
      <c r="N53" s="18"/>
    </row>
    <row r="54" spans="1:14" ht="15.75" customHeight="1">
      <c r="A54" s="105" t="s">
        <v>79</v>
      </c>
      <c r="B54" s="106" t="s">
        <v>80</v>
      </c>
      <c r="C54" s="2">
        <v>0</v>
      </c>
      <c r="D54" s="2">
        <v>0</v>
      </c>
      <c r="E54" s="2">
        <v>0</v>
      </c>
      <c r="F54" s="2">
        <v>0</v>
      </c>
      <c r="G54" s="8">
        <v>0</v>
      </c>
      <c r="H54" s="18"/>
      <c r="I54" s="18"/>
      <c r="J54" s="18"/>
      <c r="K54" s="18"/>
      <c r="L54" s="18"/>
      <c r="M54" s="18"/>
      <c r="N54" s="18"/>
    </row>
    <row r="55" spans="1:14" ht="18" customHeight="1">
      <c r="A55" s="105" t="s">
        <v>81</v>
      </c>
      <c r="B55" s="106" t="s">
        <v>82</v>
      </c>
      <c r="C55" s="2">
        <v>0</v>
      </c>
      <c r="D55" s="2">
        <v>0</v>
      </c>
      <c r="E55" s="2">
        <v>0</v>
      </c>
      <c r="F55" s="2">
        <v>0</v>
      </c>
      <c r="G55" s="8">
        <v>0</v>
      </c>
      <c r="H55" s="18"/>
      <c r="I55" s="18"/>
      <c r="J55" s="18"/>
      <c r="K55" s="18"/>
      <c r="L55" s="18"/>
      <c r="M55" s="18"/>
      <c r="N55" s="18"/>
    </row>
    <row r="56" spans="1:14" ht="24" customHeight="1">
      <c r="A56" s="101" t="s">
        <v>83</v>
      </c>
      <c r="B56" s="102" t="s">
        <v>84</v>
      </c>
      <c r="C56" s="103">
        <v>2680016</v>
      </c>
      <c r="D56" s="103">
        <f>D67</f>
        <v>5881323.8399999999</v>
      </c>
      <c r="E56" s="103">
        <f t="shared" ref="E56:G56" si="15">E67</f>
        <v>5850000</v>
      </c>
      <c r="F56" s="103">
        <f t="shared" si="15"/>
        <v>6500000</v>
      </c>
      <c r="G56" s="104">
        <f t="shared" si="15"/>
        <v>7050000</v>
      </c>
      <c r="H56" s="18"/>
      <c r="I56" s="18"/>
      <c r="J56" s="18"/>
      <c r="K56" s="18"/>
      <c r="L56" s="18"/>
      <c r="M56" s="18"/>
      <c r="N56" s="18"/>
    </row>
    <row r="57" spans="1:14" ht="15.75" customHeight="1" thickBot="1">
      <c r="A57" s="150" t="s">
        <v>85</v>
      </c>
      <c r="B57" s="153" t="s">
        <v>86</v>
      </c>
      <c r="C57" s="154">
        <v>0</v>
      </c>
      <c r="D57" s="154">
        <v>0</v>
      </c>
      <c r="E57" s="154">
        <v>0</v>
      </c>
      <c r="F57" s="154">
        <v>0</v>
      </c>
      <c r="G57" s="155">
        <v>0</v>
      </c>
      <c r="H57" s="18"/>
      <c r="I57" s="18"/>
      <c r="J57" s="18"/>
      <c r="K57" s="18"/>
      <c r="L57" s="18"/>
      <c r="M57" s="18"/>
      <c r="N57" s="18"/>
    </row>
    <row r="58" spans="1:14" ht="21" customHeight="1">
      <c r="A58" s="119" t="s">
        <v>87</v>
      </c>
      <c r="B58" s="156" t="s">
        <v>88</v>
      </c>
      <c r="C58" s="121">
        <v>0</v>
      </c>
      <c r="D58" s="121">
        <v>0</v>
      </c>
      <c r="E58" s="121">
        <v>0</v>
      </c>
      <c r="F58" s="121">
        <v>0</v>
      </c>
      <c r="G58" s="122">
        <v>0</v>
      </c>
      <c r="H58" s="18"/>
      <c r="I58" s="18"/>
      <c r="J58" s="18"/>
      <c r="K58" s="18"/>
      <c r="L58" s="18"/>
      <c r="M58" s="18"/>
      <c r="N58" s="18"/>
    </row>
    <row r="59" spans="1:14" ht="23.25" customHeight="1">
      <c r="A59" s="105" t="s">
        <v>89</v>
      </c>
      <c r="B59" s="106" t="s">
        <v>90</v>
      </c>
      <c r="C59" s="2">
        <v>0</v>
      </c>
      <c r="D59" s="2">
        <v>0</v>
      </c>
      <c r="E59" s="2">
        <v>0</v>
      </c>
      <c r="F59" s="2">
        <v>0</v>
      </c>
      <c r="G59" s="8">
        <v>0</v>
      </c>
      <c r="H59" s="18"/>
      <c r="I59" s="18"/>
      <c r="J59" s="18"/>
      <c r="K59" s="18"/>
      <c r="L59" s="18"/>
      <c r="M59" s="18"/>
      <c r="N59" s="18"/>
    </row>
    <row r="60" spans="1:14" ht="15.75" customHeight="1">
      <c r="A60" s="105" t="s">
        <v>89</v>
      </c>
      <c r="B60" s="106" t="s">
        <v>91</v>
      </c>
      <c r="C60" s="2">
        <v>0</v>
      </c>
      <c r="D60" s="2">
        <v>0</v>
      </c>
      <c r="E60" s="2">
        <v>0</v>
      </c>
      <c r="F60" s="2">
        <v>0</v>
      </c>
      <c r="G60" s="8">
        <v>0</v>
      </c>
      <c r="H60" s="18"/>
      <c r="I60" s="18"/>
      <c r="J60" s="18"/>
      <c r="K60" s="18"/>
      <c r="L60" s="18"/>
      <c r="M60" s="18"/>
      <c r="N60" s="18"/>
    </row>
    <row r="61" spans="1:14" ht="21.75" customHeight="1" thickBot="1">
      <c r="A61" s="117" t="s">
        <v>92</v>
      </c>
      <c r="B61" s="118" t="s">
        <v>93</v>
      </c>
      <c r="C61" s="9">
        <v>0</v>
      </c>
      <c r="D61" s="9">
        <v>0</v>
      </c>
      <c r="E61" s="9">
        <v>0</v>
      </c>
      <c r="F61" s="9">
        <v>0</v>
      </c>
      <c r="G61" s="10">
        <v>0</v>
      </c>
      <c r="H61" s="29"/>
      <c r="I61" s="29"/>
      <c r="J61" s="29"/>
      <c r="K61" s="29"/>
      <c r="L61" s="29"/>
      <c r="M61" s="29"/>
      <c r="N61" s="29"/>
    </row>
    <row r="62" spans="1:14" ht="23.25" customHeight="1">
      <c r="A62" s="119" t="s">
        <v>94</v>
      </c>
      <c r="B62" s="120" t="s">
        <v>95</v>
      </c>
      <c r="C62" s="121">
        <v>0</v>
      </c>
      <c r="D62" s="121">
        <v>0</v>
      </c>
      <c r="E62" s="121">
        <v>0</v>
      </c>
      <c r="F62" s="121">
        <v>0</v>
      </c>
      <c r="G62" s="122">
        <v>0</v>
      </c>
      <c r="H62" s="18"/>
      <c r="I62" s="18"/>
      <c r="J62" s="18"/>
      <c r="K62" s="18"/>
      <c r="L62" s="18"/>
      <c r="M62" s="18"/>
      <c r="N62" s="18"/>
    </row>
    <row r="63" spans="1:14" ht="15.75" customHeight="1">
      <c r="A63" s="105" t="s">
        <v>96</v>
      </c>
      <c r="B63" s="106" t="s">
        <v>97</v>
      </c>
      <c r="C63" s="108">
        <v>0</v>
      </c>
      <c r="D63" s="108">
        <v>0</v>
      </c>
      <c r="E63" s="108">
        <v>0</v>
      </c>
      <c r="F63" s="108">
        <v>0</v>
      </c>
      <c r="G63" s="109">
        <v>0</v>
      </c>
      <c r="H63" s="18"/>
      <c r="I63" s="18"/>
      <c r="J63" s="18"/>
      <c r="K63" s="18"/>
      <c r="L63" s="18"/>
      <c r="M63" s="18"/>
      <c r="N63" s="18"/>
    </row>
    <row r="64" spans="1:14" ht="15.75" customHeight="1">
      <c r="A64" s="105" t="s">
        <v>98</v>
      </c>
      <c r="B64" s="106" t="s">
        <v>90</v>
      </c>
      <c r="C64" s="2"/>
      <c r="D64" s="2">
        <v>0</v>
      </c>
      <c r="E64" s="2">
        <v>0</v>
      </c>
      <c r="F64" s="2">
        <v>0</v>
      </c>
      <c r="G64" s="8">
        <v>0</v>
      </c>
      <c r="H64" s="18"/>
      <c r="I64" s="18"/>
      <c r="J64" s="18"/>
      <c r="K64" s="18"/>
      <c r="L64" s="18"/>
      <c r="M64" s="18"/>
      <c r="N64" s="18"/>
    </row>
    <row r="65" spans="1:14" ht="23.25" customHeight="1">
      <c r="A65" s="105" t="s">
        <v>98</v>
      </c>
      <c r="B65" s="106" t="s">
        <v>91</v>
      </c>
      <c r="C65" s="2">
        <v>0</v>
      </c>
      <c r="D65" s="2">
        <v>0</v>
      </c>
      <c r="E65" s="2">
        <v>0</v>
      </c>
      <c r="F65" s="2">
        <v>0</v>
      </c>
      <c r="G65" s="8">
        <v>0</v>
      </c>
      <c r="H65" s="18"/>
      <c r="I65" s="18"/>
      <c r="J65" s="18"/>
      <c r="K65" s="18"/>
      <c r="L65" s="18"/>
      <c r="M65" s="18"/>
      <c r="N65" s="18"/>
    </row>
    <row r="66" spans="1:14" ht="15.75" customHeight="1">
      <c r="A66" s="105" t="s">
        <v>99</v>
      </c>
      <c r="B66" s="113" t="s">
        <v>93</v>
      </c>
      <c r="C66" s="2">
        <v>0</v>
      </c>
      <c r="D66" s="2">
        <v>0</v>
      </c>
      <c r="E66" s="2">
        <v>0</v>
      </c>
      <c r="F66" s="2">
        <v>0</v>
      </c>
      <c r="G66" s="8">
        <v>0</v>
      </c>
    </row>
    <row r="67" spans="1:14" ht="15.75" customHeight="1">
      <c r="A67" s="105" t="s">
        <v>100</v>
      </c>
      <c r="B67" s="123" t="s">
        <v>101</v>
      </c>
      <c r="C67" s="108">
        <v>2680016</v>
      </c>
      <c r="D67" s="108">
        <f t="shared" ref="D67:G67" si="16">D68+D71+D72</f>
        <v>5881323.8399999999</v>
      </c>
      <c r="E67" s="108">
        <f t="shared" si="16"/>
        <v>5850000</v>
      </c>
      <c r="F67" s="108">
        <f t="shared" si="16"/>
        <v>6500000</v>
      </c>
      <c r="G67" s="109">
        <f t="shared" si="16"/>
        <v>7050000</v>
      </c>
    </row>
    <row r="68" spans="1:14" ht="15.75" customHeight="1">
      <c r="A68" s="105" t="s">
        <v>102</v>
      </c>
      <c r="B68" s="106" t="s">
        <v>97</v>
      </c>
      <c r="C68" s="108">
        <v>2278609</v>
      </c>
      <c r="D68" s="108">
        <f t="shared" ref="D68:G68" si="17">D69+D70</f>
        <v>4953199.71</v>
      </c>
      <c r="E68" s="108">
        <f t="shared" si="17"/>
        <v>5000000</v>
      </c>
      <c r="F68" s="108">
        <f t="shared" si="17"/>
        <v>5500000</v>
      </c>
      <c r="G68" s="108">
        <f t="shared" si="17"/>
        <v>6000000</v>
      </c>
    </row>
    <row r="69" spans="1:14" ht="15.75" customHeight="1">
      <c r="A69" s="105" t="s">
        <v>103</v>
      </c>
      <c r="B69" s="106" t="s">
        <v>90</v>
      </c>
      <c r="C69" s="2">
        <v>2278609</v>
      </c>
      <c r="D69" s="2">
        <v>4953199.71</v>
      </c>
      <c r="E69" s="2">
        <f>5000000</f>
        <v>5000000</v>
      </c>
      <c r="F69" s="2">
        <f>5500000</f>
        <v>5500000</v>
      </c>
      <c r="G69" s="2">
        <f>6000000</f>
        <v>6000000</v>
      </c>
    </row>
    <row r="70" spans="1:14" ht="21" customHeight="1">
      <c r="A70" s="105" t="s">
        <v>103</v>
      </c>
      <c r="B70" s="106" t="s">
        <v>91</v>
      </c>
      <c r="C70" s="2">
        <v>0</v>
      </c>
      <c r="D70" s="2">
        <v>0</v>
      </c>
      <c r="E70" s="2">
        <v>0</v>
      </c>
      <c r="F70" s="2">
        <v>0</v>
      </c>
      <c r="G70" s="8">
        <v>0</v>
      </c>
    </row>
    <row r="71" spans="1:14" ht="15.75" customHeight="1">
      <c r="A71" s="105" t="s">
        <v>104</v>
      </c>
      <c r="B71" s="113" t="s">
        <v>105</v>
      </c>
      <c r="C71" s="2">
        <v>19000</v>
      </c>
      <c r="D71" s="2">
        <v>153546.25</v>
      </c>
      <c r="E71" s="2">
        <v>150000</v>
      </c>
      <c r="F71" s="2">
        <v>200000</v>
      </c>
      <c r="G71" s="2">
        <v>250000</v>
      </c>
    </row>
    <row r="72" spans="1:14" ht="24" customHeight="1">
      <c r="A72" s="105" t="s">
        <v>106</v>
      </c>
      <c r="B72" s="106" t="s">
        <v>93</v>
      </c>
      <c r="C72" s="2">
        <v>382407</v>
      </c>
      <c r="D72" s="2">
        <v>774577.88</v>
      </c>
      <c r="E72" s="2">
        <f>700000</f>
        <v>700000</v>
      </c>
      <c r="F72" s="2">
        <v>800000</v>
      </c>
      <c r="G72" s="8">
        <v>800000</v>
      </c>
    </row>
    <row r="73" spans="1:14" ht="15.75" customHeight="1">
      <c r="A73" s="105" t="s">
        <v>107</v>
      </c>
      <c r="B73" s="106" t="s">
        <v>108</v>
      </c>
      <c r="C73" s="2">
        <v>0</v>
      </c>
      <c r="D73" s="2">
        <v>0</v>
      </c>
      <c r="E73" s="2">
        <v>0</v>
      </c>
      <c r="F73" s="2">
        <v>0</v>
      </c>
      <c r="G73" s="8">
        <v>0</v>
      </c>
    </row>
    <row r="74" spans="1:14" ht="15.75" customHeight="1">
      <c r="A74" s="101" t="s">
        <v>109</v>
      </c>
      <c r="B74" s="102" t="s">
        <v>110</v>
      </c>
      <c r="C74" s="103">
        <v>411291</v>
      </c>
      <c r="D74" s="103">
        <f t="shared" ref="D74:G74" si="18">D75</f>
        <v>9288024.6899999995</v>
      </c>
      <c r="E74" s="103">
        <f t="shared" si="18"/>
        <v>7000000</v>
      </c>
      <c r="F74" s="103">
        <f t="shared" si="18"/>
        <v>6000000</v>
      </c>
      <c r="G74" s="104">
        <f t="shared" si="18"/>
        <v>4000000</v>
      </c>
    </row>
    <row r="75" spans="1:14" ht="15.75" customHeight="1">
      <c r="A75" s="105" t="s">
        <v>111</v>
      </c>
      <c r="B75" s="106" t="s">
        <v>112</v>
      </c>
      <c r="C75" s="108">
        <v>411291</v>
      </c>
      <c r="D75" s="108">
        <f t="shared" ref="D75:G75" si="19">D86</f>
        <v>9288024.6899999995</v>
      </c>
      <c r="E75" s="108">
        <f t="shared" si="19"/>
        <v>7000000</v>
      </c>
      <c r="F75" s="108">
        <f t="shared" si="19"/>
        <v>6000000</v>
      </c>
      <c r="G75" s="109">
        <f t="shared" si="19"/>
        <v>4000000</v>
      </c>
    </row>
    <row r="76" spans="1:14" ht="15.75" customHeight="1">
      <c r="A76" s="105" t="s">
        <v>113</v>
      </c>
      <c r="B76" s="106" t="s">
        <v>49</v>
      </c>
      <c r="C76" s="108">
        <v>0</v>
      </c>
      <c r="D76" s="108">
        <v>0</v>
      </c>
      <c r="E76" s="108">
        <v>0</v>
      </c>
      <c r="F76" s="108">
        <v>0</v>
      </c>
      <c r="G76" s="109">
        <v>0</v>
      </c>
    </row>
    <row r="77" spans="1:14" ht="15.75" customHeight="1">
      <c r="A77" s="105" t="s">
        <v>114</v>
      </c>
      <c r="B77" s="106" t="s">
        <v>51</v>
      </c>
      <c r="C77" s="2">
        <v>0</v>
      </c>
      <c r="D77" s="2">
        <v>0</v>
      </c>
      <c r="E77" s="2">
        <v>0</v>
      </c>
      <c r="F77" s="2">
        <v>0</v>
      </c>
      <c r="G77" s="8">
        <v>0</v>
      </c>
    </row>
    <row r="78" spans="1:14" ht="15.75" customHeight="1">
      <c r="A78" s="105" t="s">
        <v>114</v>
      </c>
      <c r="B78" s="106" t="s">
        <v>52</v>
      </c>
      <c r="C78" s="2">
        <v>0</v>
      </c>
      <c r="D78" s="2">
        <v>0</v>
      </c>
      <c r="E78" s="2">
        <v>0</v>
      </c>
      <c r="F78" s="2">
        <v>0</v>
      </c>
      <c r="G78" s="8">
        <v>0</v>
      </c>
    </row>
    <row r="79" spans="1:14" ht="25.5" customHeight="1">
      <c r="A79" s="105" t="s">
        <v>114</v>
      </c>
      <c r="B79" s="106" t="s">
        <v>53</v>
      </c>
      <c r="C79" s="2">
        <v>0</v>
      </c>
      <c r="D79" s="2">
        <v>0</v>
      </c>
      <c r="E79" s="2">
        <v>0</v>
      </c>
      <c r="F79" s="2">
        <v>0</v>
      </c>
      <c r="G79" s="8">
        <v>0</v>
      </c>
    </row>
    <row r="80" spans="1:14" ht="15.75" customHeight="1">
      <c r="A80" s="105" t="s">
        <v>114</v>
      </c>
      <c r="B80" s="106" t="s">
        <v>115</v>
      </c>
      <c r="C80" s="2">
        <v>0</v>
      </c>
      <c r="D80" s="2">
        <v>0</v>
      </c>
      <c r="E80" s="2">
        <v>0</v>
      </c>
      <c r="F80" s="2">
        <v>0</v>
      </c>
      <c r="G80" s="8">
        <v>0</v>
      </c>
    </row>
    <row r="81" spans="1:7" ht="15.75" customHeight="1">
      <c r="A81" s="105" t="s">
        <v>116</v>
      </c>
      <c r="B81" s="106" t="s">
        <v>59</v>
      </c>
      <c r="C81" s="108">
        <v>0</v>
      </c>
      <c r="D81" s="108">
        <v>0</v>
      </c>
      <c r="E81" s="108">
        <v>0</v>
      </c>
      <c r="F81" s="108">
        <v>0</v>
      </c>
      <c r="G81" s="109">
        <v>0</v>
      </c>
    </row>
    <row r="82" spans="1:7" ht="15.75" customHeight="1">
      <c r="A82" s="105" t="s">
        <v>117</v>
      </c>
      <c r="B82" s="106" t="s">
        <v>51</v>
      </c>
      <c r="C82" s="2">
        <v>0</v>
      </c>
      <c r="D82" s="2">
        <v>0</v>
      </c>
      <c r="E82" s="2">
        <v>0</v>
      </c>
      <c r="F82" s="2">
        <v>0</v>
      </c>
      <c r="G82" s="8">
        <v>0</v>
      </c>
    </row>
    <row r="83" spans="1:7" ht="22.5" customHeight="1">
      <c r="A83" s="105" t="s">
        <v>117</v>
      </c>
      <c r="B83" s="106" t="s">
        <v>52</v>
      </c>
      <c r="C83" s="2">
        <v>0</v>
      </c>
      <c r="D83" s="2">
        <v>0</v>
      </c>
      <c r="E83" s="2">
        <v>0</v>
      </c>
      <c r="F83" s="2">
        <v>0</v>
      </c>
      <c r="G83" s="8">
        <v>0</v>
      </c>
    </row>
    <row r="84" spans="1:7" ht="15.75" customHeight="1">
      <c r="A84" s="105" t="s">
        <v>117</v>
      </c>
      <c r="B84" s="106" t="s">
        <v>53</v>
      </c>
      <c r="C84" s="2">
        <v>0</v>
      </c>
      <c r="D84" s="2">
        <v>0</v>
      </c>
      <c r="E84" s="2">
        <v>0</v>
      </c>
      <c r="F84" s="2">
        <v>0</v>
      </c>
      <c r="G84" s="8">
        <v>0</v>
      </c>
    </row>
    <row r="85" spans="1:7" ht="15.75" customHeight="1">
      <c r="A85" s="105" t="s">
        <v>117</v>
      </c>
      <c r="B85" s="106" t="s">
        <v>115</v>
      </c>
      <c r="C85" s="2">
        <v>0</v>
      </c>
      <c r="D85" s="2">
        <v>0</v>
      </c>
      <c r="E85" s="2">
        <v>0</v>
      </c>
      <c r="F85" s="2">
        <v>0</v>
      </c>
      <c r="G85" s="8">
        <v>0</v>
      </c>
    </row>
    <row r="86" spans="1:7" ht="15.75" customHeight="1">
      <c r="A86" s="105" t="s">
        <v>118</v>
      </c>
      <c r="B86" s="106" t="s">
        <v>119</v>
      </c>
      <c r="C86" s="108">
        <v>411291</v>
      </c>
      <c r="D86" s="108">
        <f t="shared" ref="D86:G86" si="20">D87</f>
        <v>9288024.6899999995</v>
      </c>
      <c r="E86" s="108">
        <f t="shared" si="20"/>
        <v>7000000</v>
      </c>
      <c r="F86" s="108">
        <f t="shared" si="20"/>
        <v>6000000</v>
      </c>
      <c r="G86" s="109">
        <f t="shared" si="20"/>
        <v>4000000</v>
      </c>
    </row>
    <row r="87" spans="1:7" ht="15.75" customHeight="1">
      <c r="A87" s="105" t="s">
        <v>120</v>
      </c>
      <c r="B87" s="106" t="s">
        <v>121</v>
      </c>
      <c r="C87" s="2">
        <v>411291</v>
      </c>
      <c r="D87" s="2">
        <v>9288024.6899999995</v>
      </c>
      <c r="E87" s="2">
        <v>7000000</v>
      </c>
      <c r="F87" s="2">
        <v>6000000</v>
      </c>
      <c r="G87" s="8">
        <v>4000000</v>
      </c>
    </row>
    <row r="88" spans="1:7" ht="15.75" customHeight="1">
      <c r="A88" s="105" t="s">
        <v>120</v>
      </c>
      <c r="B88" s="106" t="s">
        <v>122</v>
      </c>
      <c r="C88" s="2">
        <v>0</v>
      </c>
      <c r="D88" s="2">
        <v>0</v>
      </c>
      <c r="E88" s="2">
        <v>0</v>
      </c>
      <c r="F88" s="2">
        <v>0</v>
      </c>
      <c r="G88" s="8">
        <v>0</v>
      </c>
    </row>
    <row r="89" spans="1:7" ht="15.75" customHeight="1">
      <c r="A89" s="105" t="s">
        <v>123</v>
      </c>
      <c r="B89" s="106" t="s">
        <v>124</v>
      </c>
      <c r="C89" s="2">
        <v>0</v>
      </c>
      <c r="D89" s="2">
        <v>0</v>
      </c>
      <c r="E89" s="2">
        <v>0</v>
      </c>
      <c r="F89" s="2">
        <v>0</v>
      </c>
      <c r="G89" s="8">
        <v>0</v>
      </c>
    </row>
    <row r="90" spans="1:7" ht="15.75" customHeight="1">
      <c r="A90" s="105" t="s">
        <v>125</v>
      </c>
      <c r="B90" s="106" t="s">
        <v>126</v>
      </c>
      <c r="C90" s="2">
        <v>0</v>
      </c>
      <c r="D90" s="2">
        <v>0</v>
      </c>
      <c r="E90" s="2">
        <v>0</v>
      </c>
      <c r="F90" s="2">
        <v>0</v>
      </c>
      <c r="G90" s="8">
        <v>0</v>
      </c>
    </row>
    <row r="91" spans="1:7">
      <c r="A91" s="124" t="s">
        <v>127</v>
      </c>
      <c r="B91" s="125" t="s">
        <v>128</v>
      </c>
      <c r="C91" s="3">
        <v>0</v>
      </c>
      <c r="D91" s="221">
        <v>21557</v>
      </c>
      <c r="E91" s="3">
        <v>0</v>
      </c>
      <c r="F91" s="3">
        <v>0</v>
      </c>
      <c r="G91" s="11">
        <v>0</v>
      </c>
    </row>
    <row r="92" spans="1:7">
      <c r="A92" s="126" t="s">
        <v>129</v>
      </c>
      <c r="B92" s="127" t="s">
        <v>130</v>
      </c>
      <c r="C92" s="3">
        <v>0</v>
      </c>
      <c r="D92" s="3">
        <v>0</v>
      </c>
      <c r="E92" s="3">
        <v>0</v>
      </c>
      <c r="F92" s="3">
        <v>0</v>
      </c>
      <c r="G92" s="11">
        <v>0</v>
      </c>
    </row>
    <row r="93" spans="1:7" ht="12.75" thickBot="1">
      <c r="A93" s="126" t="s">
        <v>131</v>
      </c>
      <c r="B93" s="127" t="s">
        <v>132</v>
      </c>
      <c r="C93" s="3">
        <v>0</v>
      </c>
      <c r="D93" s="3">
        <v>0</v>
      </c>
      <c r="E93" s="3">
        <v>0</v>
      </c>
      <c r="F93" s="3">
        <v>0</v>
      </c>
      <c r="G93" s="11">
        <v>0</v>
      </c>
    </row>
    <row r="94" spans="1:7" ht="12.75" thickBot="1">
      <c r="A94" s="128"/>
      <c r="B94" s="129" t="s">
        <v>133</v>
      </c>
      <c r="C94" s="130">
        <v>27173040</v>
      </c>
      <c r="D94" s="130">
        <f t="shared" ref="D94:G94" si="21">D7+D49</f>
        <v>55910489.07</v>
      </c>
      <c r="E94" s="130">
        <f t="shared" si="21"/>
        <v>52847041</v>
      </c>
      <c r="F94" s="130">
        <f t="shared" si="21"/>
        <v>51814561</v>
      </c>
      <c r="G94" s="131">
        <f t="shared" si="21"/>
        <v>49892566</v>
      </c>
    </row>
    <row r="95" spans="1:7">
      <c r="A95" s="4"/>
      <c r="B95" s="18"/>
      <c r="C95" s="29"/>
      <c r="D95" s="29"/>
      <c r="E95" s="29"/>
      <c r="F95" s="29"/>
    </row>
    <row r="96" spans="1:7">
      <c r="A96" s="4"/>
      <c r="B96" s="18"/>
      <c r="C96" s="29"/>
      <c r="D96" s="29"/>
      <c r="E96" s="29"/>
      <c r="F96" s="29"/>
    </row>
    <row r="97" spans="1:7" ht="12.75" thickBot="1">
      <c r="A97" s="4"/>
      <c r="B97" s="18"/>
      <c r="C97" s="29"/>
      <c r="D97" s="29"/>
      <c r="E97" s="29"/>
      <c r="F97" s="29"/>
    </row>
    <row r="98" spans="1:7" ht="12.75" thickBot="1">
      <c r="A98" s="132" t="s">
        <v>0</v>
      </c>
      <c r="B98" s="88" t="s">
        <v>134</v>
      </c>
      <c r="C98" s="89">
        <v>2015</v>
      </c>
      <c r="D98" s="91">
        <v>2021</v>
      </c>
      <c r="E98" s="91">
        <v>2022</v>
      </c>
      <c r="F98" s="91">
        <v>2023</v>
      </c>
      <c r="G98" s="152">
        <v>2024</v>
      </c>
    </row>
    <row r="99" spans="1:7">
      <c r="A99" s="92">
        <v>1</v>
      </c>
      <c r="B99" s="93">
        <v>2</v>
      </c>
      <c r="C99" s="94">
        <v>3</v>
      </c>
      <c r="D99" s="95">
        <v>5</v>
      </c>
      <c r="E99" s="95">
        <v>6</v>
      </c>
      <c r="F99" s="94">
        <v>7</v>
      </c>
      <c r="G99" s="12">
        <v>8</v>
      </c>
    </row>
    <row r="100" spans="1:7" ht="15" customHeight="1">
      <c r="A100" s="239" t="s">
        <v>134</v>
      </c>
      <c r="B100" s="240"/>
      <c r="C100" s="240"/>
      <c r="D100" s="240"/>
      <c r="E100" s="240"/>
      <c r="F100" s="240"/>
      <c r="G100" s="241"/>
    </row>
    <row r="101" spans="1:7">
      <c r="A101" s="97" t="s">
        <v>3</v>
      </c>
      <c r="B101" s="98" t="s">
        <v>135</v>
      </c>
      <c r="C101" s="99">
        <v>5354271</v>
      </c>
      <c r="D101" s="99">
        <f t="shared" ref="D101:G101" si="22">D102+D110+D113</f>
        <v>9804826.1399999987</v>
      </c>
      <c r="E101" s="99">
        <f t="shared" si="22"/>
        <v>9906866.1400000006</v>
      </c>
      <c r="F101" s="99">
        <f t="shared" si="22"/>
        <v>9919966.1400000006</v>
      </c>
      <c r="G101" s="100">
        <f t="shared" si="22"/>
        <v>9938066.1400000006</v>
      </c>
    </row>
    <row r="102" spans="1:7">
      <c r="A102" s="101" t="s">
        <v>5</v>
      </c>
      <c r="B102" s="102" t="s">
        <v>136</v>
      </c>
      <c r="C102" s="5">
        <v>9720373</v>
      </c>
      <c r="D102" s="5">
        <v>9774714</v>
      </c>
      <c r="E102" s="5">
        <v>9774714</v>
      </c>
      <c r="F102" s="5">
        <v>9774714</v>
      </c>
      <c r="G102" s="13">
        <v>9774714</v>
      </c>
    </row>
    <row r="103" spans="1:7">
      <c r="A103" s="101" t="s">
        <v>137</v>
      </c>
      <c r="B103" s="133" t="s">
        <v>212</v>
      </c>
      <c r="C103" s="5">
        <v>0</v>
      </c>
      <c r="D103" s="5">
        <v>0</v>
      </c>
      <c r="E103" s="5">
        <v>0</v>
      </c>
      <c r="F103" s="5">
        <v>0</v>
      </c>
      <c r="G103" s="13">
        <v>0</v>
      </c>
    </row>
    <row r="104" spans="1:7" ht="36">
      <c r="A104" s="111" t="s">
        <v>138</v>
      </c>
      <c r="B104" s="134" t="s">
        <v>139</v>
      </c>
      <c r="C104" s="2">
        <v>0</v>
      </c>
      <c r="D104" s="2">
        <v>0</v>
      </c>
      <c r="E104" s="2">
        <v>0</v>
      </c>
      <c r="F104" s="2">
        <v>0</v>
      </c>
      <c r="G104" s="8">
        <v>0</v>
      </c>
    </row>
    <row r="105" spans="1:7">
      <c r="A105" s="101" t="s">
        <v>33</v>
      </c>
      <c r="B105" s="102" t="s">
        <v>213</v>
      </c>
      <c r="C105" s="5">
        <v>0</v>
      </c>
      <c r="D105" s="5">
        <v>0</v>
      </c>
      <c r="E105" s="5">
        <v>0</v>
      </c>
      <c r="F105" s="5">
        <v>0</v>
      </c>
      <c r="G105" s="13">
        <v>0</v>
      </c>
    </row>
    <row r="106" spans="1:7">
      <c r="A106" s="111" t="s">
        <v>140</v>
      </c>
      <c r="B106" s="135" t="s">
        <v>141</v>
      </c>
      <c r="C106" s="2">
        <v>0</v>
      </c>
      <c r="D106" s="2">
        <v>0</v>
      </c>
      <c r="E106" s="2">
        <v>0</v>
      </c>
      <c r="F106" s="2">
        <v>0</v>
      </c>
      <c r="G106" s="8">
        <v>0</v>
      </c>
    </row>
    <row r="107" spans="1:7">
      <c r="A107" s="101" t="s">
        <v>41</v>
      </c>
      <c r="B107" s="102" t="s">
        <v>214</v>
      </c>
      <c r="C107" s="5">
        <v>0</v>
      </c>
      <c r="D107" s="5">
        <v>0</v>
      </c>
      <c r="E107" s="5">
        <v>0</v>
      </c>
      <c r="F107" s="5">
        <v>0</v>
      </c>
      <c r="G107" s="13">
        <v>0</v>
      </c>
    </row>
    <row r="108" spans="1:7">
      <c r="A108" s="111" t="s">
        <v>142</v>
      </c>
      <c r="B108" s="135" t="s">
        <v>143</v>
      </c>
      <c r="C108" s="2">
        <v>0</v>
      </c>
      <c r="D108" s="2">
        <v>0</v>
      </c>
      <c r="E108" s="2">
        <v>0</v>
      </c>
      <c r="F108" s="2">
        <v>0</v>
      </c>
      <c r="G108" s="8">
        <v>0</v>
      </c>
    </row>
    <row r="109" spans="1:7">
      <c r="A109" s="111" t="s">
        <v>142</v>
      </c>
      <c r="B109" s="135" t="s">
        <v>144</v>
      </c>
      <c r="C109" s="2">
        <v>0</v>
      </c>
      <c r="D109" s="2">
        <v>0</v>
      </c>
      <c r="E109" s="2">
        <v>0</v>
      </c>
      <c r="F109" s="2">
        <v>0</v>
      </c>
      <c r="G109" s="8">
        <v>0</v>
      </c>
    </row>
    <row r="110" spans="1:7">
      <c r="A110" s="101" t="s">
        <v>63</v>
      </c>
      <c r="B110" s="102" t="s">
        <v>145</v>
      </c>
      <c r="C110" s="103">
        <v>-4392432</v>
      </c>
      <c r="D110" s="103">
        <f t="shared" ref="D110:G110" si="23">D111+D112</f>
        <v>-485316.72</v>
      </c>
      <c r="E110" s="103">
        <f t="shared" si="23"/>
        <v>30112.140000000014</v>
      </c>
      <c r="F110" s="103">
        <f t="shared" si="23"/>
        <v>132152.14000000001</v>
      </c>
      <c r="G110" s="104">
        <f t="shared" si="23"/>
        <v>145252.14000000001</v>
      </c>
    </row>
    <row r="111" spans="1:7">
      <c r="A111" s="111" t="s">
        <v>65</v>
      </c>
      <c r="B111" s="135" t="s">
        <v>146</v>
      </c>
      <c r="C111" s="2">
        <v>0</v>
      </c>
      <c r="D111" s="2">
        <v>0</v>
      </c>
      <c r="E111" s="2">
        <v>0</v>
      </c>
      <c r="F111" s="2">
        <v>0</v>
      </c>
      <c r="G111" s="8">
        <v>0</v>
      </c>
    </row>
    <row r="112" spans="1:7">
      <c r="A112" s="111" t="s">
        <v>67</v>
      </c>
      <c r="B112" s="135" t="s">
        <v>147</v>
      </c>
      <c r="C112" s="2">
        <v>-4392432</v>
      </c>
      <c r="D112" s="2">
        <f>-485316.72</f>
        <v>-485316.72</v>
      </c>
      <c r="E112" s="2">
        <f>D112+D113</f>
        <v>30112.140000000014</v>
      </c>
      <c r="F112" s="2">
        <f>E112+E113</f>
        <v>132152.14000000001</v>
      </c>
      <c r="G112" s="8">
        <f t="shared" ref="G112" si="24">F112+F113</f>
        <v>145252.14000000001</v>
      </c>
    </row>
    <row r="113" spans="1:7">
      <c r="A113" s="101" t="s">
        <v>148</v>
      </c>
      <c r="B113" s="102" t="s">
        <v>149</v>
      </c>
      <c r="C113" s="103">
        <v>26330</v>
      </c>
      <c r="D113" s="103">
        <f t="shared" ref="D113:G113" si="25">D114+D115</f>
        <v>515428.86</v>
      </c>
      <c r="E113" s="103">
        <f t="shared" si="25"/>
        <v>102040</v>
      </c>
      <c r="F113" s="103">
        <f t="shared" si="25"/>
        <v>13100</v>
      </c>
      <c r="G113" s="104">
        <f t="shared" si="25"/>
        <v>18100</v>
      </c>
    </row>
    <row r="114" spans="1:7">
      <c r="A114" s="111" t="s">
        <v>150</v>
      </c>
      <c r="B114" s="135" t="s">
        <v>146</v>
      </c>
      <c r="C114" s="2">
        <v>26330</v>
      </c>
      <c r="D114" s="2">
        <v>515428.86</v>
      </c>
      <c r="E114" s="2">
        <v>102040</v>
      </c>
      <c r="F114" s="2">
        <v>13100</v>
      </c>
      <c r="G114" s="8">
        <v>18100</v>
      </c>
    </row>
    <row r="115" spans="1:7">
      <c r="A115" s="111" t="s">
        <v>151</v>
      </c>
      <c r="B115" s="135" t="s">
        <v>147</v>
      </c>
      <c r="C115" s="2">
        <v>0</v>
      </c>
      <c r="D115" s="2">
        <v>0</v>
      </c>
      <c r="E115" s="2">
        <v>0</v>
      </c>
      <c r="F115" s="2">
        <v>0</v>
      </c>
      <c r="G115" s="8">
        <v>0</v>
      </c>
    </row>
    <row r="116" spans="1:7" ht="24">
      <c r="A116" s="101" t="s">
        <v>152</v>
      </c>
      <c r="B116" s="133" t="s">
        <v>153</v>
      </c>
      <c r="C116" s="5">
        <v>0</v>
      </c>
      <c r="D116" s="5">
        <v>0</v>
      </c>
      <c r="E116" s="5">
        <v>0</v>
      </c>
      <c r="F116" s="5">
        <v>0</v>
      </c>
      <c r="G116" s="13">
        <v>0</v>
      </c>
    </row>
    <row r="117" spans="1:7">
      <c r="A117" s="97" t="s">
        <v>69</v>
      </c>
      <c r="B117" s="136" t="s">
        <v>154</v>
      </c>
      <c r="C117" s="99">
        <v>21818769</v>
      </c>
      <c r="D117" s="99">
        <f>D118+D126+D160+D135</f>
        <v>46105662.99000001</v>
      </c>
      <c r="E117" s="99">
        <f t="shared" ref="E117:G117" si="26">E118+E126+E160+E135</f>
        <v>42940175</v>
      </c>
      <c r="F117" s="99">
        <f t="shared" si="26"/>
        <v>41894595</v>
      </c>
      <c r="G117" s="100">
        <f t="shared" si="26"/>
        <v>39954500</v>
      </c>
    </row>
    <row r="118" spans="1:7">
      <c r="A118" s="101" t="s">
        <v>71</v>
      </c>
      <c r="B118" s="133" t="s">
        <v>155</v>
      </c>
      <c r="C118" s="103">
        <v>1974204</v>
      </c>
      <c r="D118" s="103">
        <f t="shared" ref="D118:G118" si="27">D120+D123</f>
        <v>6272759.9500000002</v>
      </c>
      <c r="E118" s="103">
        <f t="shared" si="27"/>
        <v>7750000</v>
      </c>
      <c r="F118" s="103">
        <f t="shared" si="27"/>
        <v>7550000</v>
      </c>
      <c r="G118" s="104">
        <f t="shared" si="27"/>
        <v>7550000</v>
      </c>
    </row>
    <row r="119" spans="1:7">
      <c r="A119" s="105" t="s">
        <v>73</v>
      </c>
      <c r="B119" s="110" t="s">
        <v>156</v>
      </c>
      <c r="C119" s="2">
        <v>0</v>
      </c>
      <c r="D119" s="2">
        <v>0</v>
      </c>
      <c r="E119" s="2">
        <v>0</v>
      </c>
      <c r="F119" s="2">
        <v>0</v>
      </c>
      <c r="G119" s="8">
        <v>0</v>
      </c>
    </row>
    <row r="120" spans="1:7">
      <c r="A120" s="105" t="s">
        <v>75</v>
      </c>
      <c r="B120" s="110" t="s">
        <v>157</v>
      </c>
      <c r="C120" s="108">
        <v>1580907</v>
      </c>
      <c r="D120" s="108">
        <f t="shared" ref="D120:G120" si="28">D121+D122</f>
        <v>2442807.16</v>
      </c>
      <c r="E120" s="108">
        <f t="shared" si="28"/>
        <v>2250000</v>
      </c>
      <c r="F120" s="108">
        <f t="shared" si="28"/>
        <v>2250000</v>
      </c>
      <c r="G120" s="109">
        <f t="shared" si="28"/>
        <v>2250000</v>
      </c>
    </row>
    <row r="121" spans="1:7">
      <c r="A121" s="105" t="s">
        <v>158</v>
      </c>
      <c r="B121" s="110" t="s">
        <v>159</v>
      </c>
      <c r="C121" s="2">
        <v>1070667</v>
      </c>
      <c r="D121" s="2">
        <v>1504319.77</v>
      </c>
      <c r="E121" s="2">
        <v>1800000</v>
      </c>
      <c r="F121" s="2">
        <v>1800000</v>
      </c>
      <c r="G121" s="2">
        <v>1800000</v>
      </c>
    </row>
    <row r="122" spans="1:7">
      <c r="A122" s="105" t="s">
        <v>158</v>
      </c>
      <c r="B122" s="110" t="s">
        <v>160</v>
      </c>
      <c r="C122" s="2">
        <v>510240</v>
      </c>
      <c r="D122" s="2">
        <v>938487.39</v>
      </c>
      <c r="E122" s="2">
        <v>450000</v>
      </c>
      <c r="F122" s="2">
        <v>450000</v>
      </c>
      <c r="G122" s="2">
        <v>450000</v>
      </c>
    </row>
    <row r="123" spans="1:7">
      <c r="A123" s="105" t="s">
        <v>77</v>
      </c>
      <c r="B123" s="106" t="s">
        <v>161</v>
      </c>
      <c r="C123" s="108">
        <v>393297</v>
      </c>
      <c r="D123" s="108">
        <f t="shared" ref="D123:G123" si="29">D124+D125</f>
        <v>3829952.79</v>
      </c>
      <c r="E123" s="108">
        <f t="shared" si="29"/>
        <v>5500000</v>
      </c>
      <c r="F123" s="108">
        <f t="shared" si="29"/>
        <v>5300000</v>
      </c>
      <c r="G123" s="109">
        <f t="shared" si="29"/>
        <v>5300000</v>
      </c>
    </row>
    <row r="124" spans="1:7">
      <c r="A124" s="105" t="s">
        <v>162</v>
      </c>
      <c r="B124" s="106" t="s">
        <v>163</v>
      </c>
      <c r="C124" s="2">
        <v>147227</v>
      </c>
      <c r="D124" s="2">
        <v>0</v>
      </c>
      <c r="E124" s="2">
        <v>0</v>
      </c>
      <c r="F124" s="2">
        <v>0</v>
      </c>
      <c r="G124" s="8">
        <v>0</v>
      </c>
    </row>
    <row r="125" spans="1:7">
      <c r="A125" s="105" t="s">
        <v>162</v>
      </c>
      <c r="B125" s="106" t="s">
        <v>164</v>
      </c>
      <c r="C125" s="2">
        <v>246070</v>
      </c>
      <c r="D125" s="2">
        <v>3829952.79</v>
      </c>
      <c r="E125" s="2">
        <f>5600000-100000</f>
        <v>5500000</v>
      </c>
      <c r="F125" s="2">
        <f>5600000-300000</f>
        <v>5300000</v>
      </c>
      <c r="G125" s="2">
        <f>5600000-300000</f>
        <v>5300000</v>
      </c>
    </row>
    <row r="126" spans="1:7">
      <c r="A126" s="101" t="s">
        <v>83</v>
      </c>
      <c r="B126" s="102" t="s">
        <v>165</v>
      </c>
      <c r="C126" s="103">
        <v>1744531</v>
      </c>
      <c r="D126" s="103">
        <f t="shared" ref="D126:G126" si="30">D129</f>
        <v>1850000</v>
      </c>
      <c r="E126" s="103">
        <f t="shared" si="30"/>
        <v>1800000</v>
      </c>
      <c r="F126" s="103">
        <f t="shared" si="30"/>
        <v>1500000</v>
      </c>
      <c r="G126" s="104">
        <f t="shared" si="30"/>
        <v>1200000</v>
      </c>
    </row>
    <row r="127" spans="1:7">
      <c r="A127" s="111" t="s">
        <v>85</v>
      </c>
      <c r="B127" s="135" t="s">
        <v>166</v>
      </c>
      <c r="C127" s="2">
        <v>0</v>
      </c>
      <c r="D127" s="2">
        <v>0</v>
      </c>
      <c r="E127" s="2">
        <v>0</v>
      </c>
      <c r="F127" s="2">
        <v>0</v>
      </c>
      <c r="G127" s="8">
        <v>0</v>
      </c>
    </row>
    <row r="128" spans="1:7" ht="36">
      <c r="A128" s="111" t="s">
        <v>94</v>
      </c>
      <c r="B128" s="134" t="s">
        <v>167</v>
      </c>
      <c r="C128" s="2">
        <v>0</v>
      </c>
      <c r="D128" s="2">
        <v>0</v>
      </c>
      <c r="E128" s="2">
        <v>0</v>
      </c>
      <c r="F128" s="2">
        <v>0</v>
      </c>
      <c r="G128" s="8">
        <v>0</v>
      </c>
    </row>
    <row r="129" spans="1:7">
      <c r="A129" s="105" t="s">
        <v>100</v>
      </c>
      <c r="B129" s="106" t="s">
        <v>168</v>
      </c>
      <c r="C129" s="108">
        <v>1744531</v>
      </c>
      <c r="D129" s="108">
        <f t="shared" ref="D129:G129" si="31">D130</f>
        <v>1850000</v>
      </c>
      <c r="E129" s="108">
        <f t="shared" si="31"/>
        <v>1800000</v>
      </c>
      <c r="F129" s="108">
        <f t="shared" si="31"/>
        <v>1500000</v>
      </c>
      <c r="G129" s="109">
        <f t="shared" si="31"/>
        <v>1200000</v>
      </c>
    </row>
    <row r="130" spans="1:7">
      <c r="A130" s="105" t="s">
        <v>102</v>
      </c>
      <c r="B130" s="106" t="s">
        <v>169</v>
      </c>
      <c r="C130" s="2">
        <v>1744531</v>
      </c>
      <c r="D130" s="2">
        <v>1850000</v>
      </c>
      <c r="E130" s="2">
        <v>1800000</v>
      </c>
      <c r="F130" s="2">
        <v>1500000</v>
      </c>
      <c r="G130" s="2">
        <f>F130-300000</f>
        <v>1200000</v>
      </c>
    </row>
    <row r="131" spans="1:7">
      <c r="A131" s="105" t="s">
        <v>104</v>
      </c>
      <c r="B131" s="110" t="s">
        <v>170</v>
      </c>
      <c r="C131" s="2">
        <v>0</v>
      </c>
      <c r="D131" s="2">
        <v>0</v>
      </c>
      <c r="E131" s="2">
        <v>0</v>
      </c>
      <c r="F131" s="2">
        <v>0</v>
      </c>
      <c r="G131" s="8">
        <v>0</v>
      </c>
    </row>
    <row r="132" spans="1:7">
      <c r="A132" s="105" t="s">
        <v>106</v>
      </c>
      <c r="B132" s="106" t="s">
        <v>171</v>
      </c>
      <c r="C132" s="2">
        <v>0</v>
      </c>
      <c r="D132" s="2">
        <v>0</v>
      </c>
      <c r="E132" s="2">
        <v>0</v>
      </c>
      <c r="F132" s="2">
        <v>0</v>
      </c>
      <c r="G132" s="8">
        <v>0</v>
      </c>
    </row>
    <row r="133" spans="1:7">
      <c r="A133" s="105" t="s">
        <v>107</v>
      </c>
      <c r="B133" s="106" t="s">
        <v>172</v>
      </c>
      <c r="C133" s="2">
        <v>0</v>
      </c>
      <c r="D133" s="2">
        <v>0</v>
      </c>
      <c r="E133" s="2">
        <v>0</v>
      </c>
      <c r="F133" s="2">
        <v>0</v>
      </c>
      <c r="G133" s="8">
        <v>0</v>
      </c>
    </row>
    <row r="134" spans="1:7">
      <c r="A134" s="105" t="s">
        <v>173</v>
      </c>
      <c r="B134" s="106" t="s">
        <v>93</v>
      </c>
      <c r="C134" s="2">
        <v>0</v>
      </c>
      <c r="D134" s="2">
        <v>0</v>
      </c>
      <c r="E134" s="2">
        <v>0</v>
      </c>
      <c r="F134" s="2">
        <v>0</v>
      </c>
      <c r="G134" s="8">
        <v>0</v>
      </c>
    </row>
    <row r="135" spans="1:7">
      <c r="A135" s="101" t="s">
        <v>109</v>
      </c>
      <c r="B135" s="102" t="s">
        <v>174</v>
      </c>
      <c r="C135" s="103">
        <v>5963974</v>
      </c>
      <c r="D135" s="103">
        <f t="shared" ref="D135:G135" si="32">D146+D158</f>
        <v>11714576.800000001</v>
      </c>
      <c r="E135" s="103">
        <f t="shared" si="32"/>
        <v>9390000</v>
      </c>
      <c r="F135" s="103">
        <f t="shared" si="32"/>
        <v>9760000</v>
      </c>
      <c r="G135" s="104">
        <f t="shared" si="32"/>
        <v>9980000</v>
      </c>
    </row>
    <row r="136" spans="1:7">
      <c r="A136" s="111" t="s">
        <v>111</v>
      </c>
      <c r="B136" s="135" t="s">
        <v>175</v>
      </c>
      <c r="C136" s="137">
        <v>0</v>
      </c>
      <c r="D136" s="137">
        <v>0</v>
      </c>
      <c r="E136" s="137">
        <v>0</v>
      </c>
      <c r="F136" s="137">
        <v>0</v>
      </c>
      <c r="G136" s="138">
        <v>0</v>
      </c>
    </row>
    <row r="137" spans="1:7">
      <c r="A137" s="111" t="s">
        <v>113</v>
      </c>
      <c r="B137" s="106" t="s">
        <v>176</v>
      </c>
      <c r="C137" s="137">
        <v>0</v>
      </c>
      <c r="D137" s="137">
        <v>0</v>
      </c>
      <c r="E137" s="137">
        <v>0</v>
      </c>
      <c r="F137" s="137">
        <v>0</v>
      </c>
      <c r="G137" s="138">
        <v>0</v>
      </c>
    </row>
    <row r="138" spans="1:7">
      <c r="A138" s="111" t="s">
        <v>114</v>
      </c>
      <c r="B138" s="106" t="s">
        <v>90</v>
      </c>
      <c r="C138" s="2">
        <v>0</v>
      </c>
      <c r="D138" s="2">
        <v>0</v>
      </c>
      <c r="E138" s="2">
        <v>0</v>
      </c>
      <c r="F138" s="2">
        <v>0</v>
      </c>
      <c r="G138" s="8">
        <v>0</v>
      </c>
    </row>
    <row r="139" spans="1:7">
      <c r="A139" s="111" t="s">
        <v>114</v>
      </c>
      <c r="B139" s="106" t="s">
        <v>91</v>
      </c>
      <c r="C139" s="2">
        <v>0</v>
      </c>
      <c r="D139" s="2">
        <v>0</v>
      </c>
      <c r="E139" s="2">
        <v>0</v>
      </c>
      <c r="F139" s="2">
        <v>0</v>
      </c>
      <c r="G139" s="8">
        <v>0</v>
      </c>
    </row>
    <row r="140" spans="1:7">
      <c r="A140" s="111" t="s">
        <v>116</v>
      </c>
      <c r="B140" s="106" t="s">
        <v>93</v>
      </c>
      <c r="C140" s="2">
        <v>0</v>
      </c>
      <c r="D140" s="2">
        <v>0</v>
      </c>
      <c r="E140" s="2">
        <v>0</v>
      </c>
      <c r="F140" s="2">
        <v>0</v>
      </c>
      <c r="G140" s="8">
        <v>0</v>
      </c>
    </row>
    <row r="141" spans="1:7" ht="36.75" thickBot="1">
      <c r="A141" s="117" t="s">
        <v>125</v>
      </c>
      <c r="B141" s="139" t="s">
        <v>177</v>
      </c>
      <c r="C141" s="140">
        <v>0</v>
      </c>
      <c r="D141" s="140">
        <v>0</v>
      </c>
      <c r="E141" s="140">
        <v>0</v>
      </c>
      <c r="F141" s="140">
        <v>0</v>
      </c>
      <c r="G141" s="141">
        <v>0</v>
      </c>
    </row>
    <row r="142" spans="1:7">
      <c r="A142" s="115" t="s">
        <v>178</v>
      </c>
      <c r="B142" s="116" t="s">
        <v>176</v>
      </c>
      <c r="C142" s="142">
        <v>0</v>
      </c>
      <c r="D142" s="142">
        <v>0</v>
      </c>
      <c r="E142" s="142">
        <v>0</v>
      </c>
      <c r="F142" s="142">
        <v>0</v>
      </c>
      <c r="G142" s="157">
        <v>0</v>
      </c>
    </row>
    <row r="143" spans="1:7">
      <c r="A143" s="105" t="s">
        <v>179</v>
      </c>
      <c r="B143" s="106" t="s">
        <v>90</v>
      </c>
      <c r="C143" s="2">
        <v>0</v>
      </c>
      <c r="D143" s="2">
        <v>0</v>
      </c>
      <c r="E143" s="2">
        <v>0</v>
      </c>
      <c r="F143" s="2">
        <v>0</v>
      </c>
      <c r="G143" s="8">
        <v>0</v>
      </c>
    </row>
    <row r="144" spans="1:7">
      <c r="A144" s="105" t="s">
        <v>179</v>
      </c>
      <c r="B144" s="106" t="s">
        <v>91</v>
      </c>
      <c r="C144" s="2">
        <v>0</v>
      </c>
      <c r="D144" s="2">
        <v>0</v>
      </c>
      <c r="E144" s="2">
        <v>0</v>
      </c>
      <c r="F144" s="2">
        <v>0</v>
      </c>
      <c r="G144" s="8">
        <v>0</v>
      </c>
    </row>
    <row r="145" spans="1:7">
      <c r="A145" s="105" t="s">
        <v>180</v>
      </c>
      <c r="B145" s="106" t="s">
        <v>93</v>
      </c>
      <c r="C145" s="2">
        <v>0</v>
      </c>
      <c r="D145" s="2">
        <v>0</v>
      </c>
      <c r="E145" s="2">
        <v>0</v>
      </c>
      <c r="F145" s="2">
        <v>0</v>
      </c>
      <c r="G145" s="8">
        <v>0</v>
      </c>
    </row>
    <row r="146" spans="1:7">
      <c r="A146" s="105" t="s">
        <v>181</v>
      </c>
      <c r="B146" s="106" t="s">
        <v>182</v>
      </c>
      <c r="C146" s="108">
        <v>5365912</v>
      </c>
      <c r="D146" s="108">
        <f t="shared" ref="D146:G146" si="33">D147+D150+D155+D156+D157</f>
        <v>11155882.210000001</v>
      </c>
      <c r="E146" s="108">
        <f t="shared" si="33"/>
        <v>8830000</v>
      </c>
      <c r="F146" s="108">
        <f t="shared" si="33"/>
        <v>9200000</v>
      </c>
      <c r="G146" s="109">
        <f t="shared" si="33"/>
        <v>9420000</v>
      </c>
    </row>
    <row r="147" spans="1:7">
      <c r="A147" s="105" t="s">
        <v>183</v>
      </c>
      <c r="B147" s="106" t="s">
        <v>169</v>
      </c>
      <c r="C147" s="2">
        <v>1207506</v>
      </c>
      <c r="D147" s="2">
        <v>150000</v>
      </c>
      <c r="E147" s="2">
        <v>150000</v>
      </c>
      <c r="F147" s="2">
        <v>150000</v>
      </c>
      <c r="G147" s="2">
        <v>150000</v>
      </c>
    </row>
    <row r="148" spans="1:7">
      <c r="A148" s="105" t="s">
        <v>184</v>
      </c>
      <c r="B148" s="110" t="s">
        <v>170</v>
      </c>
      <c r="C148" s="2">
        <v>0</v>
      </c>
      <c r="D148" s="2">
        <v>0</v>
      </c>
      <c r="E148" s="2">
        <v>0</v>
      </c>
      <c r="F148" s="2">
        <v>0</v>
      </c>
      <c r="G148" s="8">
        <v>0</v>
      </c>
    </row>
    <row r="149" spans="1:7">
      <c r="A149" s="105" t="s">
        <v>185</v>
      </c>
      <c r="B149" s="158" t="s">
        <v>171</v>
      </c>
      <c r="C149" s="2">
        <v>0</v>
      </c>
      <c r="D149" s="2">
        <v>0</v>
      </c>
      <c r="E149" s="2">
        <v>0</v>
      </c>
      <c r="F149" s="2">
        <v>0</v>
      </c>
      <c r="G149" s="8">
        <v>0</v>
      </c>
    </row>
    <row r="150" spans="1:7">
      <c r="A150" s="105" t="s">
        <v>186</v>
      </c>
      <c r="B150" s="106" t="s">
        <v>176</v>
      </c>
      <c r="C150" s="108">
        <v>1796395</v>
      </c>
      <c r="D150" s="108">
        <f t="shared" ref="D150:G150" si="34">D151</f>
        <v>3422651.74</v>
      </c>
      <c r="E150" s="108">
        <f>E151</f>
        <v>3500000</v>
      </c>
      <c r="F150" s="108">
        <f t="shared" si="34"/>
        <v>3600000</v>
      </c>
      <c r="G150" s="109">
        <f t="shared" si="34"/>
        <v>3700000</v>
      </c>
    </row>
    <row r="151" spans="1:7">
      <c r="A151" s="105" t="s">
        <v>187</v>
      </c>
      <c r="B151" s="106" t="s">
        <v>90</v>
      </c>
      <c r="C151" s="2">
        <v>1796395</v>
      </c>
      <c r="D151" s="2">
        <v>3422651.74</v>
      </c>
      <c r="E151" s="2">
        <f>3000000+500000</f>
        <v>3500000</v>
      </c>
      <c r="F151" s="2">
        <f>3100000+500000</f>
        <v>3600000</v>
      </c>
      <c r="G151" s="8">
        <f>3100000+600000</f>
        <v>3700000</v>
      </c>
    </row>
    <row r="152" spans="1:7">
      <c r="A152" s="105" t="s">
        <v>188</v>
      </c>
      <c r="B152" s="106" t="s">
        <v>91</v>
      </c>
      <c r="C152" s="2">
        <v>0</v>
      </c>
      <c r="D152" s="2"/>
      <c r="E152" s="2">
        <v>0</v>
      </c>
      <c r="F152" s="2">
        <v>0</v>
      </c>
      <c r="G152" s="8">
        <v>0</v>
      </c>
    </row>
    <row r="153" spans="1:7">
      <c r="A153" s="105" t="s">
        <v>189</v>
      </c>
      <c r="B153" s="106" t="s">
        <v>190</v>
      </c>
      <c r="C153" s="2">
        <v>0</v>
      </c>
      <c r="D153" s="2">
        <v>0</v>
      </c>
      <c r="E153" s="2">
        <v>0</v>
      </c>
      <c r="F153" s="2">
        <v>0</v>
      </c>
      <c r="G153" s="8">
        <v>0</v>
      </c>
    </row>
    <row r="154" spans="1:7">
      <c r="A154" s="105" t="s">
        <v>191</v>
      </c>
      <c r="B154" s="116" t="s">
        <v>172</v>
      </c>
      <c r="C154" s="6">
        <v>0</v>
      </c>
      <c r="D154" s="6">
        <v>0</v>
      </c>
      <c r="E154" s="6">
        <v>0</v>
      </c>
      <c r="F154" s="6">
        <v>0</v>
      </c>
      <c r="G154" s="159">
        <v>0</v>
      </c>
    </row>
    <row r="155" spans="1:7" ht="36">
      <c r="A155" s="105" t="s">
        <v>192</v>
      </c>
      <c r="B155" s="113" t="s">
        <v>193</v>
      </c>
      <c r="C155" s="2">
        <v>1347301</v>
      </c>
      <c r="D155" s="2">
        <v>2482729.48</v>
      </c>
      <c r="E155" s="2">
        <v>2500000</v>
      </c>
      <c r="F155" s="2">
        <v>2600000</v>
      </c>
      <c r="G155" s="2">
        <v>2650000</v>
      </c>
    </row>
    <row r="156" spans="1:7">
      <c r="A156" s="105" t="s">
        <v>194</v>
      </c>
      <c r="B156" s="106" t="s">
        <v>195</v>
      </c>
      <c r="C156" s="2">
        <v>919528</v>
      </c>
      <c r="D156" s="2">
        <v>2096527.02</v>
      </c>
      <c r="E156" s="2">
        <v>2200000</v>
      </c>
      <c r="F156" s="2">
        <v>2300000</v>
      </c>
      <c r="G156" s="2">
        <v>2350000</v>
      </c>
    </row>
    <row r="157" spans="1:7">
      <c r="A157" s="105" t="s">
        <v>196</v>
      </c>
      <c r="B157" s="106" t="s">
        <v>93</v>
      </c>
      <c r="C157" s="2">
        <v>95182</v>
      </c>
      <c r="D157" s="2">
        <v>3003973.97</v>
      </c>
      <c r="E157" s="2">
        <v>480000</v>
      </c>
      <c r="F157" s="2">
        <f>500000+50000</f>
        <v>550000</v>
      </c>
      <c r="G157" s="2">
        <f>500000+70000</f>
        <v>570000</v>
      </c>
    </row>
    <row r="158" spans="1:7">
      <c r="A158" s="105" t="s">
        <v>197</v>
      </c>
      <c r="B158" s="106" t="s">
        <v>198</v>
      </c>
      <c r="C158" s="2">
        <v>598062</v>
      </c>
      <c r="D158" s="2">
        <v>558694.59</v>
      </c>
      <c r="E158" s="2">
        <v>560000</v>
      </c>
      <c r="F158" s="2">
        <v>560000</v>
      </c>
      <c r="G158" s="2">
        <v>560000</v>
      </c>
    </row>
    <row r="159" spans="1:7">
      <c r="A159" s="105" t="s">
        <v>199</v>
      </c>
      <c r="B159" s="143" t="s">
        <v>200</v>
      </c>
      <c r="C159" s="7">
        <v>0</v>
      </c>
      <c r="D159" s="7">
        <v>0</v>
      </c>
      <c r="E159" s="7">
        <v>0</v>
      </c>
      <c r="F159" s="7">
        <v>0</v>
      </c>
      <c r="G159" s="160">
        <v>0</v>
      </c>
    </row>
    <row r="160" spans="1:7">
      <c r="A160" s="124" t="s">
        <v>127</v>
      </c>
      <c r="B160" s="144" t="s">
        <v>201</v>
      </c>
      <c r="C160" s="145">
        <v>12136060</v>
      </c>
      <c r="D160" s="145">
        <f t="shared" ref="D160:G160" si="35">D162</f>
        <v>26268326.240000002</v>
      </c>
      <c r="E160" s="145">
        <f t="shared" si="35"/>
        <v>24000175</v>
      </c>
      <c r="F160" s="145">
        <f t="shared" si="35"/>
        <v>23084595</v>
      </c>
      <c r="G160" s="161">
        <f t="shared" si="35"/>
        <v>21224500</v>
      </c>
    </row>
    <row r="161" spans="1:7">
      <c r="A161" s="105" t="s">
        <v>202</v>
      </c>
      <c r="B161" s="146" t="s">
        <v>203</v>
      </c>
      <c r="C161" s="2">
        <v>0</v>
      </c>
      <c r="D161" s="2">
        <v>0</v>
      </c>
      <c r="E161" s="2">
        <v>0</v>
      </c>
      <c r="F161" s="2">
        <v>0</v>
      </c>
      <c r="G161" s="8">
        <v>0</v>
      </c>
    </row>
    <row r="162" spans="1:7">
      <c r="A162" s="147" t="s">
        <v>204</v>
      </c>
      <c r="B162" s="148" t="s">
        <v>68</v>
      </c>
      <c r="C162" s="108">
        <v>12136060</v>
      </c>
      <c r="D162" s="108">
        <f t="shared" ref="D162:G162" si="36">D163+D166</f>
        <v>26268326.240000002</v>
      </c>
      <c r="E162" s="108">
        <f t="shared" si="36"/>
        <v>24000175</v>
      </c>
      <c r="F162" s="108">
        <f t="shared" si="36"/>
        <v>23084595</v>
      </c>
      <c r="G162" s="109">
        <f t="shared" si="36"/>
        <v>21224500</v>
      </c>
    </row>
    <row r="163" spans="1:7">
      <c r="A163" s="147" t="s">
        <v>205</v>
      </c>
      <c r="B163" s="146" t="s">
        <v>206</v>
      </c>
      <c r="C163" s="2">
        <v>11100559</v>
      </c>
      <c r="D163" s="2">
        <f t="shared" ref="D163:G163" si="37">D164+D165</f>
        <v>24646873.98</v>
      </c>
      <c r="E163" s="2">
        <f t="shared" si="37"/>
        <v>21750175</v>
      </c>
      <c r="F163" s="2">
        <f t="shared" si="37"/>
        <v>21184595</v>
      </c>
      <c r="G163" s="8">
        <f t="shared" si="37"/>
        <v>19774500</v>
      </c>
    </row>
    <row r="164" spans="1:7">
      <c r="A164" s="147"/>
      <c r="B164" s="149" t="s">
        <v>207</v>
      </c>
      <c r="C164" s="7">
        <v>0</v>
      </c>
      <c r="D164" s="7">
        <f>5344900+120008</f>
        <v>5464908</v>
      </c>
      <c r="E164" s="7">
        <f>4350000-27049-400000+800000+500000-1-73305</f>
        <v>5149645</v>
      </c>
      <c r="F164" s="7">
        <f>5700000-15405</f>
        <v>5684595</v>
      </c>
      <c r="G164" s="160">
        <f>5600000+74500</f>
        <v>5674500</v>
      </c>
    </row>
    <row r="165" spans="1:7" ht="24">
      <c r="A165" s="147"/>
      <c r="B165" s="149" t="s">
        <v>208</v>
      </c>
      <c r="C165" s="7">
        <v>11100559</v>
      </c>
      <c r="D165" s="7">
        <f>20283606.35-1849980+210000-1588-116615+1000000-300000-40000-3457.37</f>
        <v>19181965.98</v>
      </c>
      <c r="E165" s="7">
        <f>16600532-2</f>
        <v>16600530</v>
      </c>
      <c r="F165" s="7">
        <f>15500000</f>
        <v>15500000</v>
      </c>
      <c r="G165" s="160">
        <v>14100000</v>
      </c>
    </row>
    <row r="166" spans="1:7">
      <c r="A166" s="105" t="s">
        <v>205</v>
      </c>
      <c r="B166" s="146" t="s">
        <v>209</v>
      </c>
      <c r="C166" s="2">
        <v>1035501</v>
      </c>
      <c r="D166" s="2">
        <f t="shared" ref="D166:G166" si="38">D167+D168</f>
        <v>1621452.26</v>
      </c>
      <c r="E166" s="2">
        <f t="shared" si="38"/>
        <v>2250000</v>
      </c>
      <c r="F166" s="2">
        <f t="shared" si="38"/>
        <v>1900000</v>
      </c>
      <c r="G166" s="8">
        <f t="shared" si="38"/>
        <v>1450000</v>
      </c>
    </row>
    <row r="167" spans="1:7">
      <c r="A167" s="105"/>
      <c r="B167" s="149" t="s">
        <v>207</v>
      </c>
      <c r="C167" s="2">
        <v>0</v>
      </c>
      <c r="D167" s="2">
        <f>305553.26+50000+335+2301</f>
        <v>358189.26</v>
      </c>
      <c r="E167" s="2">
        <v>350000</v>
      </c>
      <c r="F167" s="2">
        <v>400000</v>
      </c>
      <c r="G167" s="8">
        <v>150000</v>
      </c>
    </row>
    <row r="168" spans="1:7" ht="24.75" thickBot="1">
      <c r="A168" s="150"/>
      <c r="B168" s="149" t="s">
        <v>208</v>
      </c>
      <c r="C168" s="2">
        <v>1035501</v>
      </c>
      <c r="D168" s="2">
        <f>1648300-205553+21732-1211-5-200000</f>
        <v>1263263</v>
      </c>
      <c r="E168" s="2">
        <f>1900000</f>
        <v>1900000</v>
      </c>
      <c r="F168" s="2">
        <f>1500000</f>
        <v>1500000</v>
      </c>
      <c r="G168" s="8">
        <f t="shared" ref="G168" si="39">1300000</f>
        <v>1300000</v>
      </c>
    </row>
    <row r="169" spans="1:7" ht="12.75" thickBot="1">
      <c r="A169" s="128"/>
      <c r="B169" s="129" t="s">
        <v>210</v>
      </c>
      <c r="C169" s="130">
        <v>27173040</v>
      </c>
      <c r="D169" s="130">
        <f t="shared" ref="D169:G169" si="40">D101+D117</f>
        <v>55910489.13000001</v>
      </c>
      <c r="E169" s="130">
        <f t="shared" si="40"/>
        <v>52847041.140000001</v>
      </c>
      <c r="F169" s="130">
        <f t="shared" si="40"/>
        <v>51814561.140000001</v>
      </c>
      <c r="G169" s="131">
        <f t="shared" si="40"/>
        <v>49892566.140000001</v>
      </c>
    </row>
    <row r="171" spans="1:7">
      <c r="D171" s="14">
        <f>D94</f>
        <v>55910489.07</v>
      </c>
      <c r="E171" s="14">
        <f t="shared" ref="E171:G171" si="41">E94</f>
        <v>52847041</v>
      </c>
      <c r="F171" s="14">
        <f t="shared" si="41"/>
        <v>51814561</v>
      </c>
      <c r="G171" s="14">
        <f t="shared" si="41"/>
        <v>49892566</v>
      </c>
    </row>
    <row r="174" spans="1:7">
      <c r="D174" s="14">
        <f>D169-D171</f>
        <v>6.0000009834766388E-2</v>
      </c>
      <c r="E174" s="14">
        <f>E169-E171</f>
        <v>0.14000000059604645</v>
      </c>
      <c r="F174" s="14">
        <f t="shared" ref="F174:G174" si="42">F169-F171</f>
        <v>0.14000000059604645</v>
      </c>
      <c r="G174" s="14">
        <f t="shared" si="42"/>
        <v>0.14000000059604645</v>
      </c>
    </row>
  </sheetData>
  <mergeCells count="2">
    <mergeCell ref="A6:G6"/>
    <mergeCell ref="A100:G100"/>
  </mergeCells>
  <printOptions horizontalCentered="1"/>
  <pageMargins left="0.39370078740157483" right="0" top="0.39370078740157483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RZiS</vt:lpstr>
      <vt:lpstr>Aktualizacja</vt:lpstr>
      <vt:lpstr>Bilans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ksiegowa</dc:creator>
  <cp:lastModifiedBy>Mirosława Nowak</cp:lastModifiedBy>
  <cp:lastPrinted>2023-05-23T11:01:38Z</cp:lastPrinted>
  <dcterms:created xsi:type="dcterms:W3CDTF">2018-05-10T08:27:31Z</dcterms:created>
  <dcterms:modified xsi:type="dcterms:W3CDTF">2023-05-23T12:38:18Z</dcterms:modified>
</cp:coreProperties>
</file>